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930" yWindow="60" windowWidth="22110" windowHeight="97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Лист1!$R$2:$BN$11</definedName>
  </definedNames>
  <calcPr calcId="145621"/>
</workbook>
</file>

<file path=xl/calcChain.xml><?xml version="1.0" encoding="utf-8"?>
<calcChain xmlns="http://schemas.openxmlformats.org/spreadsheetml/2006/main">
  <c r="AD6" i="1" l="1"/>
  <c r="AD7" i="1"/>
  <c r="AD8" i="1"/>
  <c r="AD9" i="1"/>
  <c r="AD10" i="1"/>
  <c r="AD11" i="1"/>
  <c r="AD5" i="1"/>
  <c r="AG6" i="1"/>
  <c r="AG7" i="1"/>
  <c r="AG8" i="1"/>
  <c r="AG9" i="1"/>
  <c r="AG10" i="1"/>
  <c r="AG11" i="1"/>
  <c r="AG5" i="1"/>
  <c r="AR6" i="1"/>
  <c r="AR7" i="1"/>
  <c r="AR8" i="1"/>
  <c r="AR9" i="1"/>
  <c r="AR10" i="1"/>
  <c r="AR11" i="1"/>
  <c r="AR5" i="1"/>
  <c r="AT5" i="1" l="1"/>
  <c r="AU5" i="1" s="1"/>
  <c r="AU6" i="1"/>
  <c r="AU7" i="1"/>
  <c r="AU8" i="1"/>
  <c r="AU9" i="1"/>
  <c r="AU10" i="1"/>
  <c r="AU11" i="1"/>
  <c r="AA5" i="1" l="1"/>
  <c r="S5" i="1"/>
  <c r="BI6" i="1" l="1"/>
  <c r="BI7" i="1"/>
  <c r="BI8" i="1"/>
  <c r="BI9" i="1"/>
  <c r="BI10" i="1"/>
  <c r="BI11" i="1"/>
  <c r="BI5" i="1"/>
  <c r="BC6" i="1"/>
  <c r="BC7" i="1"/>
  <c r="BC8" i="1"/>
  <c r="BC9" i="1"/>
  <c r="BC10" i="1"/>
  <c r="BC11" i="1"/>
  <c r="AC5" i="1" l="1"/>
  <c r="AO5" i="1" l="1"/>
  <c r="AX6" i="1"/>
  <c r="O6" i="1"/>
  <c r="O7" i="1"/>
  <c r="O8" i="1"/>
  <c r="O9" i="1"/>
  <c r="O10" i="1"/>
  <c r="O11" i="1"/>
  <c r="O5" i="1"/>
  <c r="AF5" i="1" l="1"/>
  <c r="AQ5" i="1"/>
  <c r="AX7" i="1"/>
  <c r="AX8" i="1"/>
  <c r="AX9" i="1"/>
  <c r="AX10" i="1"/>
  <c r="AX11" i="1"/>
  <c r="BB5" i="1"/>
  <c r="AZ5" i="1"/>
  <c r="AW5" i="1"/>
  <c r="AX5" i="1" s="1"/>
  <c r="BK5" i="1"/>
  <c r="BK6" i="1"/>
  <c r="BK7" i="1"/>
  <c r="BK8" i="1"/>
  <c r="BK9" i="1"/>
  <c r="BK10" i="1"/>
  <c r="BF6" i="1"/>
  <c r="BF7" i="1"/>
  <c r="BF8" i="1"/>
  <c r="BF9" i="1"/>
  <c r="BF10" i="1"/>
  <c r="BF11" i="1"/>
  <c r="BF5" i="1"/>
  <c r="BK11" i="1"/>
  <c r="BC5" i="1" l="1"/>
  <c r="AJ5" i="1"/>
  <c r="AJ6" i="1"/>
  <c r="AJ7" i="1"/>
  <c r="AJ8" i="1"/>
  <c r="AJ9" i="1"/>
  <c r="AJ10" i="1"/>
  <c r="U5" i="1"/>
  <c r="W5" i="1"/>
  <c r="Y5" i="1"/>
  <c r="S6" i="1"/>
  <c r="U6" i="1"/>
  <c r="W6" i="1"/>
  <c r="Y6" i="1"/>
  <c r="AA6" i="1"/>
  <c r="S7" i="1"/>
  <c r="U7" i="1"/>
  <c r="W7" i="1"/>
  <c r="Y7" i="1"/>
  <c r="AA7" i="1"/>
  <c r="S8" i="1"/>
  <c r="U8" i="1"/>
  <c r="W8" i="1"/>
  <c r="Y8" i="1"/>
  <c r="AA8" i="1"/>
  <c r="S9" i="1"/>
  <c r="U9" i="1"/>
  <c r="W9" i="1"/>
  <c r="Y9" i="1"/>
  <c r="AA9" i="1"/>
  <c r="S10" i="1"/>
  <c r="U10" i="1"/>
  <c r="W10" i="1"/>
  <c r="Y10" i="1"/>
  <c r="AA10" i="1"/>
  <c r="AJ11" i="1"/>
  <c r="W11" i="1"/>
  <c r="AA11" i="1"/>
  <c r="Y11" i="1"/>
  <c r="U11" i="1"/>
  <c r="S11" i="1"/>
  <c r="AK5" i="1" l="1"/>
  <c r="AL5" i="1" s="1"/>
  <c r="BL5" i="1"/>
  <c r="BM5" i="1" s="1"/>
  <c r="AK6" i="1"/>
  <c r="AK11" i="1"/>
  <c r="AK10" i="1"/>
  <c r="AK9" i="1"/>
  <c r="AK8" i="1"/>
  <c r="AK7" i="1"/>
  <c r="E3" i="3"/>
  <c r="J10" i="3" l="1"/>
  <c r="L10" i="3" s="1"/>
  <c r="P6" i="1"/>
  <c r="P7" i="1" l="1"/>
  <c r="P8" i="1"/>
  <c r="P9" i="1"/>
  <c r="P10" i="1"/>
  <c r="P11" i="1"/>
  <c r="J12" i="3"/>
  <c r="L12" i="3" s="1"/>
  <c r="J11" i="3"/>
  <c r="L11" i="3" s="1"/>
  <c r="J5" i="3"/>
  <c r="L5" i="3" s="1"/>
  <c r="J4" i="3"/>
  <c r="L4" i="3" s="1"/>
  <c r="L3" i="3"/>
  <c r="C11" i="3"/>
  <c r="E11" i="3" s="1"/>
  <c r="C12" i="3"/>
  <c r="E12" i="3" s="1"/>
  <c r="C10" i="3"/>
  <c r="E10" i="3" s="1"/>
  <c r="C5" i="3"/>
  <c r="E5" i="3" s="1"/>
  <c r="C4" i="3"/>
  <c r="E4" i="3" s="1"/>
  <c r="E6" i="3" s="1"/>
  <c r="BL11" i="1" l="1"/>
  <c r="BM11" i="1" s="1"/>
  <c r="AL10" i="1"/>
  <c r="AL9" i="1"/>
  <c r="AL11" i="1"/>
  <c r="AL7" i="1"/>
  <c r="BL9" i="1"/>
  <c r="BM9" i="1" s="1"/>
  <c r="AL8" i="1"/>
  <c r="AL6" i="1"/>
  <c r="BL6" i="1"/>
  <c r="BM6" i="1" s="1"/>
  <c r="BL8" i="1"/>
  <c r="BM8" i="1" s="1"/>
  <c r="L13" i="3"/>
  <c r="L6" i="3"/>
  <c r="E13" i="3"/>
  <c r="BL10" i="1" l="1"/>
  <c r="BM10" i="1" s="1"/>
  <c r="BN10" i="1" s="1"/>
  <c r="BL7" i="1"/>
  <c r="BM7" i="1" s="1"/>
  <c r="BN7" i="1" s="1"/>
  <c r="BN6" i="1"/>
  <c r="BN11" i="1"/>
  <c r="BN9" i="1"/>
  <c r="BN8" i="1"/>
  <c r="P5" i="1"/>
  <c r="BN5" i="1" s="1"/>
  <c r="K5" i="1" l="1"/>
  <c r="I5" i="1"/>
  <c r="G5" i="1"/>
</calcChain>
</file>

<file path=xl/sharedStrings.xml><?xml version="1.0" encoding="utf-8"?>
<sst xmlns="http://schemas.openxmlformats.org/spreadsheetml/2006/main" count="297" uniqueCount="214">
  <si>
    <t>№</t>
  </si>
  <si>
    <t>Прізвище імя по батькові</t>
  </si>
  <si>
    <t>Поточна посада</t>
  </si>
  <si>
    <t>Вчене звання</t>
  </si>
  <si>
    <t>Кафедра</t>
  </si>
  <si>
    <t>Середній бал</t>
  </si>
  <si>
    <t xml:space="preserve">Вік </t>
  </si>
  <si>
    <t>Стаж загальний</t>
  </si>
  <si>
    <t>Стаж на поточній посаді</t>
  </si>
  <si>
    <t>Кількість дисциплін, розміщених у віртуальному навчальному середовищі (ВІРТ)</t>
  </si>
  <si>
    <t>Кількість дисциплін англійською мовою (АНГЛ)</t>
  </si>
  <si>
    <t>Кількість годин викладання (МОБ ВИКЛ)</t>
  </si>
  <si>
    <t>Кількість днів стажування (МОБ СТАЖ)</t>
  </si>
  <si>
    <t>Кількість заходів (ОБМІН)</t>
  </si>
  <si>
    <t xml:space="preserve">ІТОГ ЗА блоком Освітніх показників </t>
  </si>
  <si>
    <t xml:space="preserve">ІТОГ ЗА блоком Освітніх показників з коеф.40% </t>
  </si>
  <si>
    <t>Дані про здобувача</t>
  </si>
  <si>
    <t>Ітогова сума балів за блоком</t>
  </si>
  <si>
    <t xml:space="preserve">ІТОГ ЗА блоком Наукових показників </t>
  </si>
  <si>
    <t xml:space="preserve">ІТОГ ЗА блоком Наукових показників з коеф.30% </t>
  </si>
  <si>
    <t>ІТОГ ЗА Блоком Якість викладання  з урахув.коефіціенту 30%</t>
  </si>
  <si>
    <t>Кількість студентів, які взяли участь в опитуванні</t>
  </si>
  <si>
    <t>Ітогова сума балів за блоком  (АНГЛ)</t>
  </si>
  <si>
    <t>Ітогова сума балів за блоком  (МОБ ВИКЛ)</t>
  </si>
  <si>
    <t>Ітогова сума балів за блоком  (МОБ СТАЖ)</t>
  </si>
  <si>
    <t>Ітогова сума балів за блоком  (ОБМІН)</t>
  </si>
  <si>
    <t>Ітогова сума балів за блоком (ПАТ)</t>
  </si>
  <si>
    <t>Ітогова сума балів за блоком (ПІДГ)</t>
  </si>
  <si>
    <t>Ітогова сума балів за блоком (ЗАХ)</t>
  </si>
  <si>
    <t>Ітогова сума балів за блоком (МОНО)</t>
  </si>
  <si>
    <t>Ітогова сума балів за блоком (ПУБЛ)</t>
  </si>
  <si>
    <t>3. Міжнародна мобільність: викладання</t>
  </si>
  <si>
    <t>4. Міжнародна мобільність: стажування</t>
  </si>
  <si>
    <t>5. Комітети з обміну знаннями</t>
  </si>
  <si>
    <t>Ітогова сума балів з урахув.інших авторів (АНГЛ ПУБЛ)</t>
  </si>
  <si>
    <t>1. "Віртуальні курси"</t>
  </si>
  <si>
    <t>2. Курси англійською мовою</t>
  </si>
  <si>
    <t xml:space="preserve">
1 - 5
</t>
  </si>
  <si>
    <t xml:space="preserve">
6 - 10
</t>
  </si>
  <si>
    <t>1,5 - 4,5</t>
  </si>
  <si>
    <t xml:space="preserve">
6 - 15
</t>
  </si>
  <si>
    <t>Ітогова сума балів за блоком  (ВІРТ)</t>
  </si>
  <si>
    <t>б.200 сторінок - 20 балів</t>
  </si>
  <si>
    <t>100 - 200 сторінок - 10 балів</t>
  </si>
  <si>
    <t>до 100 сторінок - 5 балів</t>
  </si>
  <si>
    <t>КАНД</t>
  </si>
  <si>
    <t>ДОКТ</t>
  </si>
  <si>
    <t>3. Патенти (ПАТ)</t>
  </si>
  <si>
    <t>4. Підготовка студентів до конкурсів (ПІДГ)</t>
  </si>
  <si>
    <t>5. Захист дисертацій (ЗАХ)</t>
  </si>
  <si>
    <t>6. Здобуття наукового ступеня (СТУПІНЬ)</t>
  </si>
  <si>
    <t>Перехід до загальної шкали</t>
  </si>
  <si>
    <t>6. Підручники, посібники, методматеріали УКР</t>
  </si>
  <si>
    <t>7. Підручники, посібники, методматеріали АНГЛ</t>
  </si>
  <si>
    <t>до 50 сторінок - 5 балів</t>
  </si>
  <si>
    <t>50 - 100 сторінок - 10 балів</t>
  </si>
  <si>
    <t>б.100 сторінок - 20 балів</t>
  </si>
  <si>
    <t>8. Підготовка студентів до конкурсів (ПІДГ)</t>
  </si>
  <si>
    <t>кількість дисциплін</t>
  </si>
  <si>
    <t>бали</t>
  </si>
  <si>
    <t>кількість годин</t>
  </si>
  <si>
    <t>кількість днів</t>
  </si>
  <si>
    <t>кількість заходів</t>
  </si>
  <si>
    <t>кількість сторінок</t>
  </si>
  <si>
    <t>кількість студентів</t>
  </si>
  <si>
    <t>5-бальна шкала</t>
  </si>
  <si>
    <t>Опис критеріїв та призначення балів за блоками критеріїв</t>
  </si>
  <si>
    <t>II. Освітня д-сть</t>
  </si>
  <si>
    <t>III. Наукова д-сть</t>
  </si>
  <si>
    <t>ступінь</t>
  </si>
  <si>
    <t>кількість одиниць</t>
  </si>
  <si>
    <t>2. Публікації SCOPUS, WEB of SCIENCE</t>
  </si>
  <si>
    <t>УКР до 100 сторінок</t>
  </si>
  <si>
    <t>АНГЛ до 50 сторінок</t>
  </si>
  <si>
    <t xml:space="preserve">АНГЛ б.100 сторінок </t>
  </si>
  <si>
    <t xml:space="preserve">АНГЛ 50 - 100 сторінок </t>
  </si>
  <si>
    <t xml:space="preserve">УКР б.200 сторінок </t>
  </si>
  <si>
    <t xml:space="preserve">УКР 100 - 200 сторінок </t>
  </si>
  <si>
    <t>1. Монографія (МОНО) - 40 балів</t>
  </si>
  <si>
    <t>3. Опублікування статей та матеріалів (ПУБЛ)</t>
  </si>
  <si>
    <t>Загальна кількість авторів (ПУБЛ)</t>
  </si>
  <si>
    <t>Кількість статей чи матеріалів (ПУБЛ)</t>
  </si>
  <si>
    <t>на корисну модель</t>
  </si>
  <si>
    <t xml:space="preserve">на винахід </t>
  </si>
  <si>
    <t>Ітогова сума балів за блоком (ПІДГ СТУД)</t>
  </si>
  <si>
    <t>Захист  - кандидатська, якщо так -1, якщо ні -0 (ЗАХ)</t>
  </si>
  <si>
    <t>Захист  - докторська, якщо так -1, якщо ні -0 (ЗАХ)</t>
  </si>
  <si>
    <t>Здобуття ступеня (СТУПІНЬ) канд - вкажіть 1, докт - вкажіть 2, якщо ні, вкажіть 0</t>
  </si>
  <si>
    <t>Ітогова сума балів за блоком (ПУБЛ SCOPUS)</t>
  </si>
  <si>
    <t>б.10</t>
  </si>
  <si>
    <t>б.15</t>
  </si>
  <si>
    <t>перехід до загальної 160 бальної шкали</t>
  </si>
  <si>
    <t>Внесення показників на доплату викладачів за 1 семестр 2019-2020 н.р.</t>
  </si>
  <si>
    <t>3 и более</t>
  </si>
  <si>
    <t xml:space="preserve">
1 - 2
</t>
  </si>
  <si>
    <t xml:space="preserve">
3 - 4
</t>
  </si>
  <si>
    <t xml:space="preserve">
б.4
</t>
  </si>
  <si>
    <t>I. Викладацька      д-сть</t>
  </si>
  <si>
    <t xml:space="preserve">5. Підготовка студентів до конкурсів (ПІДГ СТУД)
1 – 2 -   5 балів
3 – 4 -  10 балів
більше 4 -  20 балів
</t>
  </si>
  <si>
    <t>Осв.д.</t>
  </si>
  <si>
    <t>Наук.д.</t>
  </si>
  <si>
    <t>Зв.з.</t>
  </si>
  <si>
    <t>Коеф.</t>
  </si>
  <si>
    <t>Показник</t>
  </si>
  <si>
    <t>Сума</t>
  </si>
  <si>
    <t>Сума з коеф.</t>
  </si>
  <si>
    <t>Ітоговий бал</t>
  </si>
  <si>
    <t>Бал</t>
  </si>
  <si>
    <t>Фін.бал</t>
  </si>
  <si>
    <t>Приклад 1 розрахунку ітогового балу - РОШЕН</t>
  </si>
  <si>
    <t>Приклад 1 розрахунку ітогового балу - Львівська політехніка</t>
  </si>
  <si>
    <t>Приклад 2 розрахунку ітогового балу - РОШЕН</t>
  </si>
  <si>
    <t>Приклад 2 розрахунку ітогового балу - Львівська політехніка</t>
  </si>
  <si>
    <t>Макс.бал</t>
  </si>
  <si>
    <t>Розміщення дисциплін у віртуальному навчальному середовищі, кількість комплектів електронного методичного забезпечення</t>
  </si>
  <si>
    <t>Викладання дисциплін англійською мовою, кількість дисциплін</t>
  </si>
  <si>
    <t>Участь у програмах міжнародної академічної мобільності: викладання дисциплін у закордонних університетах, кількість годин</t>
  </si>
  <si>
    <t>Участь у програмах міжнародної академічної мобільності: стажування, підвищення кваліфікації, кількість робочих днів</t>
  </si>
  <si>
    <t>Кількість організованих заходів з обміну знаннями серед колег та студентів, кількість проведених заходів</t>
  </si>
  <si>
    <t>Обсяг опублікованих підручників та навчальних посібників, стор.</t>
  </si>
  <si>
    <t>Кількість підготовлених переможців та призерів 2-ого етапу всеукраїнських олімпіад</t>
  </si>
  <si>
    <t>Критерії</t>
  </si>
  <si>
    <t>Бали</t>
  </si>
  <si>
    <t xml:space="preserve">1 комплект = </t>
  </si>
  <si>
    <t xml:space="preserve">1 дисципліна = </t>
  </si>
  <si>
    <t xml:space="preserve">1 година = </t>
  </si>
  <si>
    <t xml:space="preserve">1 день = </t>
  </si>
  <si>
    <t>1 захід =</t>
  </si>
  <si>
    <t xml:space="preserve">100 сторінок  укр.м.= /  к-сть авт.
</t>
  </si>
  <si>
    <t>100 сторінок англ.м = / к-сть авт.</t>
  </si>
  <si>
    <t xml:space="preserve">10 
</t>
  </si>
  <si>
    <t xml:space="preserve">1 переможець = 
</t>
  </si>
  <si>
    <t>1 призер =</t>
  </si>
  <si>
    <t xml:space="preserve">3 
</t>
  </si>
  <si>
    <t>Кількість</t>
  </si>
  <si>
    <t>ИТОГО</t>
  </si>
  <si>
    <t>Опублікування монографії, розділу монографії українською або англійською мовою,</t>
  </si>
  <si>
    <t>Опублікування статей у виданнях, що входять у Scopus або Web of Science, кількість статей</t>
  </si>
  <si>
    <t>Опублікування статей у фахових виданнях, кількість статей</t>
  </si>
  <si>
    <t>Опублікування матеріалів доповідей на міжнародних та всеукраїнських наукових конференціях, що входять у бази даних Scopus або Web of Science, кількість матеріалів доповідей</t>
  </si>
  <si>
    <t>Отримання патентів</t>
  </si>
  <si>
    <t>на винахід</t>
  </si>
  <si>
    <t>Підготовка учасників ІІ етапу всеукраїнського конкурсу студентських наукових робіт та міжнародних наукових конкурсів, кількість підготовлених переможців та призерів</t>
  </si>
  <si>
    <t>Захист докторських чи кандидатських дисертацій під керівництвом викладача, кількість тих, хто захистився</t>
  </si>
  <si>
    <t>Здобуття наукового ступеня</t>
  </si>
  <si>
    <t xml:space="preserve">Q_2 = </t>
  </si>
  <si>
    <t xml:space="preserve">Q_3 = </t>
  </si>
  <si>
    <t xml:space="preserve">Q_4 = </t>
  </si>
  <si>
    <t xml:space="preserve">квартиль журналу/ кількість авторів де Q_1 = 
</t>
  </si>
  <si>
    <t>5 / кількість авторів</t>
  </si>
  <si>
    <t>7 / кількість авторів</t>
  </si>
  <si>
    <t>20 / кількість авторів</t>
  </si>
  <si>
    <t xml:space="preserve">1 переможець = 
</t>
  </si>
  <si>
    <t xml:space="preserve">1 призер = </t>
  </si>
  <si>
    <t>докт</t>
  </si>
  <si>
    <t>канд</t>
  </si>
  <si>
    <t>Фін.бал 160</t>
  </si>
  <si>
    <t>не визначено</t>
  </si>
  <si>
    <t>Кількість підготовлених призерів (ПІДГ ПРИ)</t>
  </si>
  <si>
    <t>Кількість підготовлених переможців (ПІДГ ПЕР)</t>
  </si>
  <si>
    <t>1. "Віртуальні курси"
1 - 10 балів
2 і більше - 20 балів</t>
  </si>
  <si>
    <t>2. Курси англійською мовою
1 - 10 балів
2 і більше - 20 балів</t>
  </si>
  <si>
    <t>4. Міжнародна мобільність: стажування
1-19 днів - 1 бал/день
20 днів і більше - 20 балів</t>
  </si>
  <si>
    <t>3. Міжнародна мобільність: викладання
1-13 год. - 1,5 балів/год.
14 год. і більше - 20 балів</t>
  </si>
  <si>
    <t>5. Комітети з обміну знаннями
1-9 - 2 бали/захід
10 і більше - 20 балів</t>
  </si>
  <si>
    <t>Кількість сторінок укр.мовою на одного автора, розгорнуто (УКР МОНО)</t>
  </si>
  <si>
    <t>Кількість сторінок укр.мовою  на одного автора, результат (УКР МОНО)</t>
  </si>
  <si>
    <t>Кількість сторінок англ.мовою на одного автора, результат (АНГЛ МОНО)</t>
  </si>
  <si>
    <t>120/5+80/4</t>
  </si>
  <si>
    <t>360/6+250/5</t>
  </si>
  <si>
    <t>Кількість сторінок англ.мовою на одного автора, розгорнуто (АНГЛ МОНО)</t>
  </si>
  <si>
    <t>Кількість статей віднесена до кількості авторів та до квартилю журналу (ПУБЛ SCOPUS)</t>
  </si>
  <si>
    <t>1/4+1/5+1/1</t>
  </si>
  <si>
    <t>Патент на корисну модель</t>
  </si>
  <si>
    <t xml:space="preserve">7. Здобуття наукового ступеня (СТУПІНЬ)
КАНД - 10 балів
ДОКТ - 20 балів
</t>
  </si>
  <si>
    <t>1/4</t>
  </si>
  <si>
    <t>1/5+1/4</t>
  </si>
  <si>
    <t>Патенти на корисну модель віднесені до кількості авторів</t>
  </si>
  <si>
    <t>Патенти на винахід віднесені до кількості авторів</t>
  </si>
  <si>
    <t>Кількість сторінок укр.мовою на одного автора, розгорнуто (УКР ПУБЛ)</t>
  </si>
  <si>
    <t>Кількість сторінок укр.мовою на одного автора, результат (УКР ПУБЛ)</t>
  </si>
  <si>
    <t>Кількість сторінок англ.мовою на одного автора, розгорнуто (АНГЛ ПУБЛ)</t>
  </si>
  <si>
    <t>Кількість сторінок англ.мовою на одного автора, результат (АНГЛ ПУБЛ)</t>
  </si>
  <si>
    <t>7. Підручники, посібники, методматеріали АНГЛ
20 балів/100 сторінок англійською на одного автора
до 20 балів максимум</t>
  </si>
  <si>
    <t>6. Підручники, посібники, методматеріали УКР
10 балів/100 сторінок українською на одного автора
до 20 балів максимум</t>
  </si>
  <si>
    <t xml:space="preserve">8. Підготовка студентів до конкурсів (ПІДГ)
1 переможець = 3 бали;
1 призер = 2 бали;
до 20 балів максимум
</t>
  </si>
  <si>
    <t>6. Захист дисертацій (ЗАХ)
 КАНД - 10 балів
 ДОКТ - 10 балів</t>
  </si>
  <si>
    <r>
      <t>4. Патенти (ПАТ)
Патенти на корисну модуль -  5 балів
Патенти на винахід -  20 балів</t>
    </r>
    <r>
      <rPr>
        <b/>
        <i/>
        <sz val="9"/>
        <color theme="1"/>
        <rFont val="Arial"/>
        <family val="2"/>
        <charset val="204"/>
      </rPr>
      <t xml:space="preserve">
</t>
    </r>
  </si>
  <si>
    <t>Якість викладання (МАКС.БАЛ - 5)
1=20
2=40
3=60
4=100
5=160</t>
  </si>
  <si>
    <t>Ітоговий рейтинговий бал</t>
  </si>
  <si>
    <t>ПРИКЛАД</t>
  </si>
  <si>
    <t>Дата переводу на поточну посаду (у форматі 01.12.1979)</t>
  </si>
  <si>
    <t>Дата прийому на роботу (у форматі 01.12.1979)</t>
  </si>
  <si>
    <t>Дата народження (у форматі 01.12.1979)</t>
  </si>
  <si>
    <t>Показник якості викладання (макс.160 балів)</t>
  </si>
  <si>
    <t>Показники освітньої діяльності (макс.160 балів)</t>
  </si>
  <si>
    <t>Показники наукової діяльності (макс.160 балів)</t>
  </si>
  <si>
    <t>Заповнювати тільки білі клітинки!</t>
    <phoneticPr fontId="14"/>
  </si>
  <si>
    <t>Увага!</t>
    <phoneticPr fontId="14"/>
  </si>
  <si>
    <t xml:space="preserve">Для показників, що враховують кількість сторінок та кількість авторів (монографії, підручники, статті, патенти), </t>
    <phoneticPr fontId="14"/>
  </si>
  <si>
    <t>необхідно заповнювати дві сусідні колонки: одну у вигляді тексту, другу у вигляді формули (той самий текст, але зі знаком = попереду</t>
    <phoneticPr fontId="14"/>
  </si>
  <si>
    <t>360/6+250/5</t>
    <phoneticPr fontId="14"/>
  </si>
  <si>
    <t>=360/6+250/5</t>
    <phoneticPr fontId="14"/>
  </si>
  <si>
    <t>Наприклад, якщо є один підручник на 360 с., 6 авторів та один підручник на 250 с., 5 авторів, тоді записуємо в наступному форматі:</t>
    <phoneticPr fontId="14"/>
  </si>
  <si>
    <t>2. Публікації SCOPUS, WEB of SCIENCE (ПУБЛ SCOPUS)
"квартиль журналу Q" /"кількість авторів" ,
де Q1 = 40 балів; Q2 = 30 балів;
Q3 = 20 балів; Q4 = 10 балів
до 20 балів максимум</t>
  </si>
  <si>
    <t>3. Опублікування статей та матеріалів доповідей (ПУБЛ)
5*Σ(кількість статей/кількість авторів)
до 20 балів максимум</t>
  </si>
  <si>
    <t>Якщо є одна стаття в Scopus на 5 авторів у 2-му квартилі (30 балів), та одна на 4 автори у 3-му квартилі (20 балів), тоді записуємо в наступному форматі:</t>
  </si>
  <si>
    <t>30/5+20/4</t>
  </si>
  <si>
    <t>=30/5+20/4</t>
  </si>
  <si>
    <t>Квартиль 4</t>
  </si>
  <si>
    <t>Квартиль 3</t>
  </si>
  <si>
    <t>Квартиль 2</t>
  </si>
  <si>
    <t>Квартиль 1</t>
  </si>
  <si>
    <t>1. Монографія (МОНО) 
10 балів/100 сторінок українською на одного автора
20 балів/100 сторінок англійською на одного автора
до 40 балів максимум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</si>
</sst>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i/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i/>
      <sz val="14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rgb="FFFF0000"/>
      <name val="Arial"/>
      <family val="2"/>
      <charset val="204"/>
    </font>
    <font>
      <b/>
      <sz val="11"/>
      <color indexed="8"/>
      <name val="Calibri"/>
      <family val="2"/>
      <scheme val="minor"/>
    </font>
    <font>
      <b/>
      <i/>
      <sz val="11"/>
      <color indexed="8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rgb="FFFF0000"/>
      <name val="Arial"/>
      <family val="2"/>
      <charset val="204"/>
    </font>
    <font>
      <sz val="6"/>
      <name val="Calibri"/>
      <family val="3"/>
      <charset val="128"/>
      <scheme val="minor"/>
    </font>
    <font>
      <b/>
      <i/>
      <sz val="16"/>
      <color theme="1"/>
      <name val="Arial"/>
      <family val="2"/>
      <charset val="204"/>
    </font>
    <font>
      <b/>
      <i/>
      <sz val="11"/>
      <color theme="1"/>
      <name val="Arial"/>
      <family val="2"/>
    </font>
    <font>
      <b/>
      <i/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4" fillId="0" borderId="0" xfId="0" applyFont="1"/>
    <xf numFmtId="0" fontId="8" fillId="0" borderId="0" xfId="0" applyFont="1"/>
    <xf numFmtId="0" fontId="5" fillId="2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right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left" vertical="center" wrapText="1"/>
    </xf>
    <xf numFmtId="0" fontId="13" fillId="0" borderId="1" xfId="0" applyFont="1" applyBorder="1" applyProtection="1">
      <protection locked="0"/>
    </xf>
    <xf numFmtId="14" fontId="13" fillId="0" borderId="1" xfId="0" applyNumberFormat="1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3" fillId="0" borderId="1" xfId="0" applyFont="1" applyFill="1" applyBorder="1" applyProtection="1">
      <protection locked="0"/>
    </xf>
    <xf numFmtId="49" fontId="13" fillId="0" borderId="1" xfId="0" applyNumberFormat="1" applyFont="1" applyBorder="1" applyProtection="1">
      <protection locked="0"/>
    </xf>
    <xf numFmtId="0" fontId="13" fillId="0" borderId="0" xfId="0" applyFont="1" applyProtection="1">
      <protection locked="0"/>
    </xf>
    <xf numFmtId="0" fontId="1" fillId="0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49" fontId="12" fillId="0" borderId="1" xfId="0" applyNumberFormat="1" applyFont="1" applyBorder="1" applyProtection="1">
      <protection locked="0"/>
    </xf>
    <xf numFmtId="0" fontId="12" fillId="0" borderId="1" xfId="0" applyFont="1" applyBorder="1" applyProtection="1">
      <protection locked="0"/>
    </xf>
    <xf numFmtId="49" fontId="1" fillId="0" borderId="1" xfId="0" applyNumberFormat="1" applyFont="1" applyBorder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right" vertical="center" wrapText="1"/>
      <protection locked="0"/>
    </xf>
    <xf numFmtId="0" fontId="2" fillId="0" borderId="0" xfId="0" applyFont="1" applyProtection="1"/>
    <xf numFmtId="0" fontId="2" fillId="0" borderId="4" xfId="0" applyFont="1" applyFill="1" applyBorder="1" applyAlignment="1" applyProtection="1">
      <alignment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vertical="center" textRotation="90" wrapText="1"/>
    </xf>
    <xf numFmtId="0" fontId="2" fillId="2" borderId="1" xfId="0" applyFont="1" applyFill="1" applyBorder="1" applyAlignment="1" applyProtection="1">
      <alignment horizontal="center" vertical="center" textRotation="90" wrapText="1"/>
    </xf>
    <xf numFmtId="0" fontId="2" fillId="3" borderId="1" xfId="0" applyFont="1" applyFill="1" applyBorder="1" applyAlignment="1" applyProtection="1">
      <alignment horizontal="center" vertical="center" textRotation="90" wrapText="1"/>
    </xf>
    <xf numFmtId="0" fontId="2" fillId="0" borderId="0" xfId="0" applyFont="1" applyAlignment="1" applyProtection="1">
      <alignment vertical="top" textRotation="90" wrapText="1"/>
    </xf>
    <xf numFmtId="0" fontId="13" fillId="2" borderId="1" xfId="0" applyFont="1" applyFill="1" applyBorder="1" applyProtection="1"/>
    <xf numFmtId="2" fontId="13" fillId="3" borderId="1" xfId="0" applyNumberFormat="1" applyFont="1" applyFill="1" applyBorder="1" applyProtection="1"/>
    <xf numFmtId="0" fontId="1" fillId="2" borderId="1" xfId="0" applyFont="1" applyFill="1" applyBorder="1" applyProtection="1"/>
    <xf numFmtId="2" fontId="2" fillId="3" borderId="1" xfId="0" applyNumberFormat="1" applyFont="1" applyFill="1" applyBorder="1" applyProtection="1"/>
    <xf numFmtId="0" fontId="13" fillId="3" borderId="1" xfId="0" applyFont="1" applyFill="1" applyBorder="1" applyProtection="1"/>
    <xf numFmtId="0" fontId="1" fillId="3" borderId="1" xfId="0" applyFont="1" applyFill="1" applyBorder="1" applyProtection="1"/>
    <xf numFmtId="2" fontId="13" fillId="2" borderId="1" xfId="0" applyNumberFormat="1" applyFont="1" applyFill="1" applyBorder="1" applyProtection="1"/>
    <xf numFmtId="2" fontId="1" fillId="2" borderId="1" xfId="0" applyNumberFormat="1" applyFont="1" applyFill="1" applyBorder="1" applyProtection="1"/>
    <xf numFmtId="2" fontId="1" fillId="3" borderId="1" xfId="0" applyNumberFormat="1" applyFont="1" applyFill="1" applyBorder="1" applyProtection="1"/>
    <xf numFmtId="0" fontId="15" fillId="0" borderId="0" xfId="0" applyFont="1" applyProtection="1">
      <protection locked="0"/>
    </xf>
    <xf numFmtId="0" fontId="16" fillId="0" borderId="1" xfId="0" quotePrefix="1" applyFont="1" applyBorder="1" applyProtection="1">
      <protection locked="0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textRotation="90" wrapText="1"/>
    </xf>
    <xf numFmtId="0" fontId="2" fillId="3" borderId="2" xfId="0" applyFont="1" applyFill="1" applyBorder="1" applyAlignment="1" applyProtection="1">
      <alignment horizontal="center" vertical="center" textRotation="90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top" wrapText="1"/>
    </xf>
    <xf numFmtId="0" fontId="4" fillId="2" borderId="3" xfId="0" applyFont="1" applyFill="1" applyBorder="1" applyAlignment="1" applyProtection="1">
      <alignment horizontal="center" vertical="top" wrapText="1"/>
    </xf>
    <xf numFmtId="0" fontId="4" fillId="2" borderId="6" xfId="0" applyFont="1" applyFill="1" applyBorder="1" applyAlignment="1" applyProtection="1">
      <alignment horizontal="center" vertical="top" wrapText="1"/>
    </xf>
    <xf numFmtId="0" fontId="17" fillId="2" borderId="4" xfId="0" applyFont="1" applyFill="1" applyBorder="1" applyAlignment="1" applyProtection="1">
      <alignment horizontal="center" vertical="top" wrapText="1"/>
    </xf>
    <xf numFmtId="0" fontId="17" fillId="2" borderId="6" xfId="0" applyFont="1" applyFill="1" applyBorder="1" applyAlignment="1" applyProtection="1">
      <alignment horizontal="center" vertical="top" wrapText="1"/>
    </xf>
    <xf numFmtId="0" fontId="17" fillId="2" borderId="3" xfId="0" applyFont="1" applyFill="1" applyBorder="1" applyAlignment="1" applyProtection="1">
      <alignment horizontal="center" vertical="top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N40"/>
  <sheetViews>
    <sheetView tabSelected="1" zoomScale="68" zoomScaleNormal="68" workbookViewId="0">
      <selection activeCell="B14" sqref="B14"/>
    </sheetView>
  </sheetViews>
  <sheetFormatPr defaultColWidth="9.140625" defaultRowHeight="14.25"/>
  <cols>
    <col min="1" max="1" width="4.42578125" style="40" customWidth="1"/>
    <col min="2" max="2" width="13.85546875" style="40" customWidth="1"/>
    <col min="3" max="3" width="12.85546875" style="40" customWidth="1"/>
    <col min="4" max="5" width="12.42578125" style="40" customWidth="1"/>
    <col min="6" max="6" width="15.42578125" style="40" customWidth="1"/>
    <col min="7" max="7" width="12" style="40" customWidth="1"/>
    <col min="8" max="9" width="14.140625" style="40" customWidth="1"/>
    <col min="10" max="10" width="13.85546875" style="40" customWidth="1"/>
    <col min="11" max="11" width="9.5703125" style="40" customWidth="1"/>
    <col min="12" max="12" width="1.140625" style="40" customWidth="1"/>
    <col min="13" max="13" width="9.42578125" style="40" customWidth="1"/>
    <col min="14" max="14" width="7.5703125" style="40" customWidth="1"/>
    <col min="15" max="16" width="9.42578125" style="40" customWidth="1"/>
    <col min="17" max="17" width="1.140625" style="40" customWidth="1"/>
    <col min="18" max="18" width="11.85546875" style="40" customWidth="1"/>
    <col min="19" max="19" width="8.140625" style="40" bestFit="1" customWidth="1"/>
    <col min="20" max="20" width="9.42578125" style="40" bestFit="1" customWidth="1"/>
    <col min="21" max="21" width="7.5703125" style="40" customWidth="1"/>
    <col min="22" max="22" width="9.42578125" style="40" bestFit="1" customWidth="1"/>
    <col min="23" max="23" width="7.140625" style="40" customWidth="1"/>
    <col min="24" max="24" width="9.42578125" style="40" bestFit="1" customWidth="1"/>
    <col min="25" max="25" width="9.42578125" style="40" customWidth="1"/>
    <col min="26" max="27" width="8.42578125" style="40" customWidth="1"/>
    <col min="28" max="28" width="14.42578125" style="40" customWidth="1"/>
    <col min="29" max="29" width="7" style="40" bestFit="1" customWidth="1"/>
    <col min="30" max="30" width="14" style="40" customWidth="1"/>
    <col min="31" max="31" width="11.42578125" style="40" customWidth="1"/>
    <col min="32" max="34" width="9.42578125" style="40" bestFit="1" customWidth="1"/>
    <col min="35" max="35" width="10.42578125" style="40" customWidth="1"/>
    <col min="36" max="36" width="8.5703125" style="40" customWidth="1"/>
    <col min="37" max="37" width="9.5703125" style="40" customWidth="1"/>
    <col min="38" max="38" width="7" style="40" customWidth="1"/>
    <col min="39" max="39" width="1.140625" style="40" customWidth="1"/>
    <col min="40" max="40" width="19" style="40" customWidth="1"/>
    <col min="41" max="41" width="13.5703125" style="40" customWidth="1"/>
    <col min="42" max="42" width="12.140625" style="40" customWidth="1"/>
    <col min="43" max="43" width="7.5703125" style="40" customWidth="1"/>
    <col min="44" max="44" width="17.5703125" style="40" customWidth="1"/>
    <col min="45" max="45" width="13.85546875" style="40" customWidth="1"/>
    <col min="46" max="46" width="9.42578125" style="40" bestFit="1" customWidth="1"/>
    <col min="47" max="47" width="13.42578125" style="40" customWidth="1"/>
    <col min="48" max="49" width="6.42578125" style="40" bestFit="1" customWidth="1"/>
    <col min="50" max="50" width="9.140625" style="40" customWidth="1"/>
    <col min="51" max="51" width="8.42578125" style="40" customWidth="1"/>
    <col min="52" max="52" width="11" style="40" customWidth="1"/>
    <col min="53" max="53" width="10.42578125" style="40" customWidth="1"/>
    <col min="54" max="54" width="11" style="40" customWidth="1"/>
    <col min="55" max="55" width="9.140625" style="40" customWidth="1"/>
    <col min="56" max="56" width="8.42578125" style="40" customWidth="1"/>
    <col min="57" max="57" width="7.85546875" style="40" customWidth="1"/>
    <col min="58" max="59" width="9.42578125" style="40" bestFit="1" customWidth="1"/>
    <col min="60" max="61" width="9.42578125" style="40" customWidth="1"/>
    <col min="62" max="62" width="9.5703125" style="40" customWidth="1"/>
    <col min="63" max="63" width="9.42578125" style="40" bestFit="1" customWidth="1"/>
    <col min="64" max="64" width="9.42578125" style="40" customWidth="1"/>
    <col min="65" max="65" width="8.42578125" style="40" customWidth="1"/>
    <col min="66" max="66" width="9.42578125" style="40" bestFit="1" customWidth="1"/>
    <col min="67" max="16384" width="9.140625" style="40"/>
  </cols>
  <sheetData>
    <row r="1" spans="1:66" s="51" customFormat="1">
      <c r="A1" s="51" t="s">
        <v>92</v>
      </c>
    </row>
    <row r="2" spans="1:66" s="51" customFormat="1" ht="43.5" customHeight="1">
      <c r="A2" s="69" t="s">
        <v>0</v>
      </c>
      <c r="B2" s="72" t="s">
        <v>16</v>
      </c>
      <c r="C2" s="73"/>
      <c r="D2" s="73"/>
      <c r="E2" s="73"/>
      <c r="F2" s="73"/>
      <c r="G2" s="73"/>
      <c r="H2" s="73"/>
      <c r="I2" s="73"/>
      <c r="J2" s="73"/>
      <c r="K2" s="74"/>
      <c r="L2" s="52"/>
      <c r="M2" s="77" t="s">
        <v>194</v>
      </c>
      <c r="N2" s="78"/>
      <c r="O2" s="78"/>
      <c r="P2" s="78"/>
      <c r="Q2" s="52"/>
      <c r="R2" s="77" t="s">
        <v>195</v>
      </c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9"/>
      <c r="AM2" s="52"/>
      <c r="AN2" s="77" t="s">
        <v>196</v>
      </c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9"/>
    </row>
    <row r="3" spans="1:66" s="51" customFormat="1" ht="124.5" customHeight="1">
      <c r="A3" s="70"/>
      <c r="B3" s="69" t="s">
        <v>1</v>
      </c>
      <c r="C3" s="69" t="s">
        <v>4</v>
      </c>
      <c r="D3" s="69" t="s">
        <v>2</v>
      </c>
      <c r="E3" s="69" t="s">
        <v>3</v>
      </c>
      <c r="F3" s="69" t="s">
        <v>193</v>
      </c>
      <c r="G3" s="69" t="s">
        <v>6</v>
      </c>
      <c r="H3" s="69" t="s">
        <v>192</v>
      </c>
      <c r="I3" s="69" t="s">
        <v>7</v>
      </c>
      <c r="J3" s="69" t="s">
        <v>191</v>
      </c>
      <c r="K3" s="69" t="s">
        <v>8</v>
      </c>
      <c r="L3" s="53"/>
      <c r="M3" s="80" t="s">
        <v>188</v>
      </c>
      <c r="N3" s="81"/>
      <c r="O3" s="81"/>
      <c r="P3" s="81"/>
      <c r="Q3" s="53"/>
      <c r="R3" s="80" t="s">
        <v>160</v>
      </c>
      <c r="S3" s="81"/>
      <c r="T3" s="80" t="s">
        <v>161</v>
      </c>
      <c r="U3" s="82"/>
      <c r="V3" s="80" t="s">
        <v>163</v>
      </c>
      <c r="W3" s="82"/>
      <c r="X3" s="80" t="s">
        <v>162</v>
      </c>
      <c r="Y3" s="82"/>
      <c r="Z3" s="80" t="s">
        <v>164</v>
      </c>
      <c r="AA3" s="82"/>
      <c r="AB3" s="80" t="s">
        <v>184</v>
      </c>
      <c r="AC3" s="81"/>
      <c r="AD3" s="82"/>
      <c r="AE3" s="80" t="s">
        <v>183</v>
      </c>
      <c r="AF3" s="81"/>
      <c r="AG3" s="82"/>
      <c r="AH3" s="80" t="s">
        <v>185</v>
      </c>
      <c r="AI3" s="81"/>
      <c r="AJ3" s="82"/>
      <c r="AK3" s="83" t="s">
        <v>14</v>
      </c>
      <c r="AL3" s="84"/>
      <c r="AM3" s="53"/>
      <c r="AN3" s="85" t="s">
        <v>213</v>
      </c>
      <c r="AO3" s="87"/>
      <c r="AP3" s="87"/>
      <c r="AQ3" s="87"/>
      <c r="AR3" s="86"/>
      <c r="AS3" s="85" t="s">
        <v>204</v>
      </c>
      <c r="AT3" s="87"/>
      <c r="AU3" s="86"/>
      <c r="AV3" s="88" t="s">
        <v>205</v>
      </c>
      <c r="AW3" s="89"/>
      <c r="AX3" s="90"/>
      <c r="AY3" s="85" t="s">
        <v>187</v>
      </c>
      <c r="AZ3" s="87"/>
      <c r="BA3" s="87"/>
      <c r="BB3" s="87"/>
      <c r="BC3" s="86"/>
      <c r="BD3" s="85" t="s">
        <v>98</v>
      </c>
      <c r="BE3" s="87"/>
      <c r="BF3" s="86"/>
      <c r="BG3" s="85" t="s">
        <v>186</v>
      </c>
      <c r="BH3" s="87"/>
      <c r="BI3" s="86"/>
      <c r="BJ3" s="85" t="s">
        <v>174</v>
      </c>
      <c r="BK3" s="86"/>
      <c r="BL3" s="83" t="s">
        <v>18</v>
      </c>
      <c r="BM3" s="84"/>
      <c r="BN3" s="75" t="s">
        <v>189</v>
      </c>
    </row>
    <row r="4" spans="1:66" s="57" customFormat="1" ht="158.25" customHeight="1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54"/>
      <c r="M4" s="55" t="s">
        <v>21</v>
      </c>
      <c r="N4" s="55" t="s">
        <v>5</v>
      </c>
      <c r="O4" s="55" t="s">
        <v>51</v>
      </c>
      <c r="P4" s="56" t="s">
        <v>20</v>
      </c>
      <c r="Q4" s="54"/>
      <c r="R4" s="55" t="s">
        <v>9</v>
      </c>
      <c r="S4" s="55" t="s">
        <v>41</v>
      </c>
      <c r="T4" s="55" t="s">
        <v>10</v>
      </c>
      <c r="U4" s="55" t="s">
        <v>22</v>
      </c>
      <c r="V4" s="55" t="s">
        <v>11</v>
      </c>
      <c r="W4" s="55" t="s">
        <v>23</v>
      </c>
      <c r="X4" s="55" t="s">
        <v>12</v>
      </c>
      <c r="Y4" s="55" t="s">
        <v>24</v>
      </c>
      <c r="Z4" s="55" t="s">
        <v>13</v>
      </c>
      <c r="AA4" s="55" t="s">
        <v>25</v>
      </c>
      <c r="AB4" s="55" t="s">
        <v>179</v>
      </c>
      <c r="AC4" s="55" t="s">
        <v>180</v>
      </c>
      <c r="AD4" s="55" t="s">
        <v>34</v>
      </c>
      <c r="AE4" s="55" t="s">
        <v>181</v>
      </c>
      <c r="AF4" s="55" t="s">
        <v>182</v>
      </c>
      <c r="AG4" s="55" t="s">
        <v>34</v>
      </c>
      <c r="AH4" s="55" t="s">
        <v>159</v>
      </c>
      <c r="AI4" s="55" t="s">
        <v>158</v>
      </c>
      <c r="AJ4" s="55" t="s">
        <v>27</v>
      </c>
      <c r="AK4" s="56" t="s">
        <v>14</v>
      </c>
      <c r="AL4" s="56" t="s">
        <v>15</v>
      </c>
      <c r="AM4" s="54"/>
      <c r="AN4" s="55" t="s">
        <v>165</v>
      </c>
      <c r="AO4" s="55" t="s">
        <v>166</v>
      </c>
      <c r="AP4" s="55" t="s">
        <v>170</v>
      </c>
      <c r="AQ4" s="55" t="s">
        <v>167</v>
      </c>
      <c r="AR4" s="55" t="s">
        <v>29</v>
      </c>
      <c r="AS4" s="55" t="s">
        <v>171</v>
      </c>
      <c r="AT4" s="55" t="s">
        <v>171</v>
      </c>
      <c r="AU4" s="55" t="s">
        <v>88</v>
      </c>
      <c r="AV4" s="55" t="s">
        <v>81</v>
      </c>
      <c r="AW4" s="55" t="s">
        <v>80</v>
      </c>
      <c r="AX4" s="55" t="s">
        <v>30</v>
      </c>
      <c r="AY4" s="55" t="s">
        <v>177</v>
      </c>
      <c r="AZ4" s="55" t="s">
        <v>173</v>
      </c>
      <c r="BA4" s="55" t="s">
        <v>178</v>
      </c>
      <c r="BB4" s="55" t="s">
        <v>178</v>
      </c>
      <c r="BC4" s="55" t="s">
        <v>26</v>
      </c>
      <c r="BD4" s="55" t="s">
        <v>159</v>
      </c>
      <c r="BE4" s="55" t="s">
        <v>158</v>
      </c>
      <c r="BF4" s="55" t="s">
        <v>84</v>
      </c>
      <c r="BG4" s="55" t="s">
        <v>85</v>
      </c>
      <c r="BH4" s="55" t="s">
        <v>86</v>
      </c>
      <c r="BI4" s="55" t="s">
        <v>28</v>
      </c>
      <c r="BJ4" s="55" t="s">
        <v>87</v>
      </c>
      <c r="BK4" s="55" t="s">
        <v>17</v>
      </c>
      <c r="BL4" s="56" t="s">
        <v>18</v>
      </c>
      <c r="BM4" s="56" t="s">
        <v>19</v>
      </c>
      <c r="BN4" s="76"/>
    </row>
    <row r="5" spans="1:66" s="43" customFormat="1">
      <c r="A5" s="34"/>
      <c r="B5" s="34" t="s">
        <v>190</v>
      </c>
      <c r="C5" s="34" t="s">
        <v>190</v>
      </c>
      <c r="D5" s="34" t="s">
        <v>190</v>
      </c>
      <c r="E5" s="34" t="s">
        <v>190</v>
      </c>
      <c r="F5" s="35">
        <v>29190</v>
      </c>
      <c r="G5" s="36">
        <f ca="1">DATEDIF(F5, TODAY(), "Y")</f>
        <v>40</v>
      </c>
      <c r="H5" s="35">
        <v>36880</v>
      </c>
      <c r="I5" s="36">
        <f ca="1">DATEDIF(H5, TODAY(), "Y")</f>
        <v>19</v>
      </c>
      <c r="J5" s="35">
        <v>41263</v>
      </c>
      <c r="K5" s="36">
        <f ca="1">DATEDIF(J5, TODAY(), "Y")</f>
        <v>7</v>
      </c>
      <c r="L5" s="41"/>
      <c r="M5" s="34"/>
      <c r="N5" s="34">
        <v>1</v>
      </c>
      <c r="O5" s="64">
        <f>IF(N5&lt;1, Лист2!$C$3, IF(N5&lt;2, Лист2!$C$4, IF(Лист1!N5&lt;3, Лист2!$C$5, IF(Лист1!N5&lt;4, Лист2!$C$6, IF(Лист1!N5&lt;5, Лист2!$C$7, IF(Лист1!N5&lt;6, Лист2!$C$8, 0))))))</f>
        <v>20</v>
      </c>
      <c r="P5" s="59">
        <f>O5*0.3</f>
        <v>6</v>
      </c>
      <c r="Q5" s="41"/>
      <c r="R5" s="34">
        <v>2</v>
      </c>
      <c r="S5" s="58">
        <f>IF(R5&lt;3, R5*10, 20)</f>
        <v>20</v>
      </c>
      <c r="T5" s="34">
        <v>1</v>
      </c>
      <c r="U5" s="58">
        <f t="shared" ref="U5:U10" si="0">IF(T5&lt;3, T5*10, 20)</f>
        <v>10</v>
      </c>
      <c r="V5" s="34">
        <v>1</v>
      </c>
      <c r="W5" s="58">
        <f t="shared" ref="W5:W10" si="1">IF(V5&lt;14, V5*1.5, 20)</f>
        <v>1.5</v>
      </c>
      <c r="X5" s="34">
        <v>1</v>
      </c>
      <c r="Y5" s="58">
        <f t="shared" ref="Y5:Y10" si="2">IF(X5&lt;20, X5*1, 20)</f>
        <v>1</v>
      </c>
      <c r="Z5" s="34">
        <v>1</v>
      </c>
      <c r="AA5" s="58">
        <f>IF(Z5&lt;10, Z5*2, 20)</f>
        <v>2</v>
      </c>
      <c r="AB5" s="41" t="s">
        <v>169</v>
      </c>
      <c r="AC5" s="34">
        <f t="shared" ref="AC5" si="3">360/6+250/5</f>
        <v>110</v>
      </c>
      <c r="AD5" s="58">
        <f>IF(AC5*0.1&lt;20, AC5*0.1, 20)</f>
        <v>11</v>
      </c>
      <c r="AE5" s="41" t="s">
        <v>168</v>
      </c>
      <c r="AF5" s="34">
        <f t="shared" ref="AF5" si="4">120/5+80/4</f>
        <v>44</v>
      </c>
      <c r="AG5" s="58">
        <f>IF(AF5*0.2&lt;20, AF5*0.2, 20)</f>
        <v>8.8000000000000007</v>
      </c>
      <c r="AH5" s="34">
        <v>1</v>
      </c>
      <c r="AI5" s="34">
        <v>1</v>
      </c>
      <c r="AJ5" s="58">
        <f t="shared" ref="AJ5:AJ10" si="5">IF(AH5*3+AI5*2&lt;20, AH5*3+AI5*2, 20)</f>
        <v>5</v>
      </c>
      <c r="AK5" s="62">
        <f>S5+U5+W5+Y5+AA5+AD5+AG5+AJ5</f>
        <v>59.3</v>
      </c>
      <c r="AL5" s="62">
        <f>AK5*0.4</f>
        <v>23.72</v>
      </c>
      <c r="AM5" s="41"/>
      <c r="AN5" s="41" t="s">
        <v>169</v>
      </c>
      <c r="AO5" s="34">
        <f t="shared" ref="AO5" si="6">360/6+250/5</f>
        <v>110</v>
      </c>
      <c r="AP5" s="41" t="s">
        <v>168</v>
      </c>
      <c r="AQ5" s="34">
        <f t="shared" ref="AQ5" si="7">120/5+80/4</f>
        <v>44</v>
      </c>
      <c r="AR5" s="58">
        <f>IF(AO5*0.1+AQ5*0.2&lt;40, AO5*0.1+AQ5*0.2, 40)</f>
        <v>19.8</v>
      </c>
      <c r="AS5" s="42" t="s">
        <v>207</v>
      </c>
      <c r="AT5" s="34">
        <f>30/5+20/4</f>
        <v>11</v>
      </c>
      <c r="AU5" s="58">
        <f>IF(AT5&lt;20,AT5,20)</f>
        <v>11</v>
      </c>
      <c r="AV5" s="34" t="s">
        <v>172</v>
      </c>
      <c r="AW5" s="34">
        <f>1/4+1/5+1/1</f>
        <v>1.45</v>
      </c>
      <c r="AX5" s="58">
        <f t="shared" ref="AX5:AX11" si="8">IF(AW5*5&lt;20,AW5*5,20)</f>
        <v>7.25</v>
      </c>
      <c r="AY5" s="42" t="s">
        <v>176</v>
      </c>
      <c r="AZ5" s="34">
        <f>1/5+1/4</f>
        <v>0.45</v>
      </c>
      <c r="BA5" s="42" t="s">
        <v>175</v>
      </c>
      <c r="BB5" s="34">
        <f>1/4</f>
        <v>0.25</v>
      </c>
      <c r="BC5" s="58">
        <f>IF(AZ5*5+BB5*20&lt;20,AZ5*5+BB5*20,20)</f>
        <v>7.25</v>
      </c>
      <c r="BD5" s="34">
        <v>1</v>
      </c>
      <c r="BE5" s="34">
        <v>1</v>
      </c>
      <c r="BF5" s="58">
        <f>IF(BD5*10+BE5*5&lt;20, BD5*10+BE5*5, 20)</f>
        <v>15</v>
      </c>
      <c r="BG5" s="41">
        <v>1</v>
      </c>
      <c r="BH5" s="34">
        <v>0</v>
      </c>
      <c r="BI5" s="58">
        <f>IF(BG5=1, 10, 0)+IF(BH5=1, 10, 0)</f>
        <v>10</v>
      </c>
      <c r="BJ5" s="34">
        <v>1</v>
      </c>
      <c r="BK5" s="58">
        <f t="shared" ref="BK5:BK10" si="9">BJ5*10</f>
        <v>10</v>
      </c>
      <c r="BL5" s="59">
        <f t="shared" ref="BL5:BL11" si="10">AR5+AX5+BC5+BF5+BI5+BK5+AU5</f>
        <v>80.3</v>
      </c>
      <c r="BM5" s="59">
        <f>BL5*0.3</f>
        <v>24.09</v>
      </c>
      <c r="BN5" s="59">
        <f t="shared" ref="BN5:BN11" si="11">P5+AL5+BM5</f>
        <v>53.81</v>
      </c>
    </row>
    <row r="6" spans="1:66">
      <c r="A6" s="37"/>
      <c r="B6" s="37"/>
      <c r="C6" s="37"/>
      <c r="D6" s="37"/>
      <c r="E6" s="37"/>
      <c r="F6" s="38"/>
      <c r="G6" s="36"/>
      <c r="H6" s="38"/>
      <c r="I6" s="39"/>
      <c r="J6" s="38"/>
      <c r="K6" s="39"/>
      <c r="L6" s="44"/>
      <c r="M6" s="45"/>
      <c r="N6" s="45">
        <v>2</v>
      </c>
      <c r="O6" s="65">
        <f>IF(N6&lt;1, Лист2!$C$3, IF(N6&lt;2, Лист2!$C$4, IF(Лист1!N6&lt;3, Лист2!$C$5, IF(Лист1!N6&lt;4, Лист2!$C$6, IF(Лист1!N6&lt;5, Лист2!$C$7, IF(Лист1!N6&lt;6, Лист2!$C$8, 0))))))</f>
        <v>40</v>
      </c>
      <c r="P6" s="66">
        <f>O6*0.3</f>
        <v>12</v>
      </c>
      <c r="Q6" s="44"/>
      <c r="R6" s="45"/>
      <c r="S6" s="60">
        <f t="shared" ref="S6:S10" si="12">IF(R6&lt;3, R6*10, 20)</f>
        <v>0</v>
      </c>
      <c r="T6" s="45"/>
      <c r="U6" s="60">
        <f t="shared" si="0"/>
        <v>0</v>
      </c>
      <c r="V6" s="45"/>
      <c r="W6" s="60">
        <f t="shared" si="1"/>
        <v>0</v>
      </c>
      <c r="X6" s="45"/>
      <c r="Y6" s="60">
        <f t="shared" si="2"/>
        <v>0</v>
      </c>
      <c r="Z6" s="45"/>
      <c r="AA6" s="60">
        <f t="shared" ref="AA6:AA10" si="13">IF(Z6&lt;10, Z6*2, 20)</f>
        <v>0</v>
      </c>
      <c r="AB6" s="44"/>
      <c r="AC6" s="34"/>
      <c r="AD6" s="58">
        <f t="shared" ref="AD6:AD11" si="14">IF(AC6*0.1&lt;20, AC6*0.1, 20)</f>
        <v>0</v>
      </c>
      <c r="AE6" s="44"/>
      <c r="AF6" s="45"/>
      <c r="AG6" s="58">
        <f t="shared" ref="AG6:AG11" si="15">IF(AF6*0.2&lt;20, AF6*0.2, 20)</f>
        <v>0</v>
      </c>
      <c r="AH6" s="45"/>
      <c r="AI6" s="45"/>
      <c r="AJ6" s="60">
        <f t="shared" si="5"/>
        <v>0</v>
      </c>
      <c r="AK6" s="63">
        <f>S6+U6+W6+Y6+AA6+AD6+AG6+AJ6</f>
        <v>0</v>
      </c>
      <c r="AL6" s="63">
        <f t="shared" ref="AL6:AL11" si="16">AK6*0.4</f>
        <v>0</v>
      </c>
      <c r="AM6" s="44"/>
      <c r="AN6" s="44"/>
      <c r="AO6" s="45"/>
      <c r="AP6" s="44"/>
      <c r="AQ6" s="45"/>
      <c r="AR6" s="58">
        <f t="shared" ref="AR6:AR11" si="17">IF(AO6*0.1+AQ6*0.2&lt;40, AO6*0.1+AQ6*0.2, 40)</f>
        <v>0</v>
      </c>
      <c r="AS6" s="46"/>
      <c r="AT6" s="47"/>
      <c r="AU6" s="58">
        <f t="shared" ref="AU6:AU11" si="18">IF(AT6&lt;20,AT6,20)</f>
        <v>0</v>
      </c>
      <c r="AV6" s="45"/>
      <c r="AW6" s="45"/>
      <c r="AX6" s="60">
        <f t="shared" si="8"/>
        <v>0</v>
      </c>
      <c r="AY6" s="48"/>
      <c r="AZ6" s="45"/>
      <c r="BA6" s="48"/>
      <c r="BB6" s="45"/>
      <c r="BC6" s="60">
        <f t="shared" ref="BC6:BC11" si="19">IF(AZ6*5+BB6*20&lt;20,AZ6*5+BB6*20,20)</f>
        <v>0</v>
      </c>
      <c r="BD6" s="45"/>
      <c r="BE6" s="45"/>
      <c r="BF6" s="60">
        <f t="shared" ref="BF6:BF11" si="20">IF(BD6*10+BE6*5&lt;20, BD6*10+BE6*5, 20)</f>
        <v>0</v>
      </c>
      <c r="BG6" s="44"/>
      <c r="BH6" s="45"/>
      <c r="BI6" s="60">
        <f t="shared" ref="BI6:BI11" si="21">IF(BG6=1, 10, 0)+IF(BH6=1, 10, 0)</f>
        <v>0</v>
      </c>
      <c r="BJ6" s="45"/>
      <c r="BK6" s="60">
        <f t="shared" si="9"/>
        <v>0</v>
      </c>
      <c r="BL6" s="61">
        <f t="shared" si="10"/>
        <v>0</v>
      </c>
      <c r="BM6" s="61">
        <f>BL6*0.3</f>
        <v>0</v>
      </c>
      <c r="BN6" s="61">
        <f t="shared" si="11"/>
        <v>12</v>
      </c>
    </row>
    <row r="7" spans="1:66">
      <c r="A7" s="37"/>
      <c r="B7" s="37"/>
      <c r="C7" s="37"/>
      <c r="D7" s="37"/>
      <c r="E7" s="37"/>
      <c r="F7" s="38"/>
      <c r="G7" s="36"/>
      <c r="H7" s="38"/>
      <c r="I7" s="39"/>
      <c r="J7" s="38"/>
      <c r="K7" s="39"/>
      <c r="L7" s="44"/>
      <c r="M7" s="45"/>
      <c r="N7" s="45">
        <v>3</v>
      </c>
      <c r="O7" s="65">
        <f>IF(N7&lt;1, Лист2!$C$3, IF(N7&lt;2, Лист2!$C$4, IF(Лист1!N7&lt;3, Лист2!$C$5, IF(Лист1!N7&lt;4, Лист2!$C$6, IF(Лист1!N7&lt;5, Лист2!$C$7, IF(Лист1!N7&lt;6, Лист2!$C$8, 0))))))</f>
        <v>60</v>
      </c>
      <c r="P7" s="66">
        <f t="shared" ref="P7:P11" si="22">O7*0.3</f>
        <v>18</v>
      </c>
      <c r="Q7" s="44"/>
      <c r="R7" s="45"/>
      <c r="S7" s="60">
        <f t="shared" si="12"/>
        <v>0</v>
      </c>
      <c r="T7" s="45"/>
      <c r="U7" s="60">
        <f t="shared" si="0"/>
        <v>0</v>
      </c>
      <c r="V7" s="45"/>
      <c r="W7" s="60">
        <f t="shared" si="1"/>
        <v>0</v>
      </c>
      <c r="X7" s="45"/>
      <c r="Y7" s="60">
        <f t="shared" si="2"/>
        <v>0</v>
      </c>
      <c r="Z7" s="45"/>
      <c r="AA7" s="60">
        <f t="shared" si="13"/>
        <v>0</v>
      </c>
      <c r="AB7" s="44"/>
      <c r="AC7" s="34"/>
      <c r="AD7" s="58">
        <f t="shared" si="14"/>
        <v>0</v>
      </c>
      <c r="AE7" s="44"/>
      <c r="AF7" s="45"/>
      <c r="AG7" s="58">
        <f t="shared" si="15"/>
        <v>0</v>
      </c>
      <c r="AH7" s="45"/>
      <c r="AI7" s="45"/>
      <c r="AJ7" s="60">
        <f t="shared" si="5"/>
        <v>0</v>
      </c>
      <c r="AK7" s="63">
        <f t="shared" ref="AK7:AK10" si="23">S7+U7+W7+Y7+AA7+AD7+AG7+AJ7</f>
        <v>0</v>
      </c>
      <c r="AL7" s="63">
        <f t="shared" si="16"/>
        <v>0</v>
      </c>
      <c r="AM7" s="44"/>
      <c r="AN7" s="44"/>
      <c r="AO7" s="45"/>
      <c r="AP7" s="44"/>
      <c r="AQ7" s="45"/>
      <c r="AR7" s="58">
        <f t="shared" si="17"/>
        <v>0</v>
      </c>
      <c r="AS7" s="48"/>
      <c r="AT7" s="45"/>
      <c r="AU7" s="58">
        <f t="shared" si="18"/>
        <v>0</v>
      </c>
      <c r="AV7" s="45"/>
      <c r="AW7" s="45"/>
      <c r="AX7" s="60">
        <f t="shared" si="8"/>
        <v>0</v>
      </c>
      <c r="AY7" s="48"/>
      <c r="AZ7" s="45"/>
      <c r="BA7" s="48"/>
      <c r="BB7" s="45"/>
      <c r="BC7" s="60">
        <f t="shared" si="19"/>
        <v>0</v>
      </c>
      <c r="BD7" s="45"/>
      <c r="BE7" s="45"/>
      <c r="BF7" s="60">
        <f t="shared" si="20"/>
        <v>0</v>
      </c>
      <c r="BG7" s="44"/>
      <c r="BH7" s="45"/>
      <c r="BI7" s="60">
        <f t="shared" si="21"/>
        <v>0</v>
      </c>
      <c r="BJ7" s="45"/>
      <c r="BK7" s="60">
        <f t="shared" si="9"/>
        <v>0</v>
      </c>
      <c r="BL7" s="61">
        <f t="shared" si="10"/>
        <v>0</v>
      </c>
      <c r="BM7" s="61">
        <f t="shared" ref="BM7:BM11" si="24">BL7*0.3</f>
        <v>0</v>
      </c>
      <c r="BN7" s="61">
        <f t="shared" si="11"/>
        <v>18</v>
      </c>
    </row>
    <row r="8" spans="1:66">
      <c r="A8" s="37"/>
      <c r="B8" s="37"/>
      <c r="C8" s="37"/>
      <c r="D8" s="37"/>
      <c r="E8" s="37"/>
      <c r="F8" s="38"/>
      <c r="G8" s="36"/>
      <c r="H8" s="38"/>
      <c r="I8" s="39"/>
      <c r="J8" s="38"/>
      <c r="K8" s="39"/>
      <c r="L8" s="44"/>
      <c r="M8" s="45"/>
      <c r="N8" s="45">
        <v>4</v>
      </c>
      <c r="O8" s="65">
        <f>IF(N8&lt;1, Лист2!$C$3, IF(N8&lt;2, Лист2!$C$4, IF(Лист1!N8&lt;3, Лист2!$C$5, IF(Лист1!N8&lt;4, Лист2!$C$6, IF(Лист1!N8&lt;5, Лист2!$C$7, IF(Лист1!N8&lt;6, Лист2!$C$8, 0))))))</f>
        <v>100</v>
      </c>
      <c r="P8" s="66">
        <f t="shared" si="22"/>
        <v>30</v>
      </c>
      <c r="Q8" s="44"/>
      <c r="R8" s="45"/>
      <c r="S8" s="60">
        <f t="shared" si="12"/>
        <v>0</v>
      </c>
      <c r="T8" s="45"/>
      <c r="U8" s="60">
        <f t="shared" si="0"/>
        <v>0</v>
      </c>
      <c r="V8" s="45"/>
      <c r="W8" s="60">
        <f t="shared" si="1"/>
        <v>0</v>
      </c>
      <c r="X8" s="45"/>
      <c r="Y8" s="60">
        <f t="shared" si="2"/>
        <v>0</v>
      </c>
      <c r="Z8" s="45"/>
      <c r="AA8" s="60">
        <f t="shared" si="13"/>
        <v>0</v>
      </c>
      <c r="AB8" s="44"/>
      <c r="AC8" s="34"/>
      <c r="AD8" s="58">
        <f t="shared" si="14"/>
        <v>0</v>
      </c>
      <c r="AE8" s="44"/>
      <c r="AF8" s="45"/>
      <c r="AG8" s="58">
        <f t="shared" si="15"/>
        <v>0</v>
      </c>
      <c r="AH8" s="45"/>
      <c r="AI8" s="45"/>
      <c r="AJ8" s="60">
        <f t="shared" si="5"/>
        <v>0</v>
      </c>
      <c r="AK8" s="63">
        <f t="shared" si="23"/>
        <v>0</v>
      </c>
      <c r="AL8" s="63">
        <f t="shared" si="16"/>
        <v>0</v>
      </c>
      <c r="AM8" s="44"/>
      <c r="AN8" s="44"/>
      <c r="AO8" s="45"/>
      <c r="AP8" s="44"/>
      <c r="AQ8" s="45"/>
      <c r="AR8" s="58">
        <f t="shared" si="17"/>
        <v>0</v>
      </c>
      <c r="AS8" s="48"/>
      <c r="AT8" s="45"/>
      <c r="AU8" s="58">
        <f t="shared" si="18"/>
        <v>0</v>
      </c>
      <c r="AV8" s="45"/>
      <c r="AW8" s="45"/>
      <c r="AX8" s="60">
        <f t="shared" si="8"/>
        <v>0</v>
      </c>
      <c r="AY8" s="48"/>
      <c r="AZ8" s="45"/>
      <c r="BA8" s="48"/>
      <c r="BB8" s="45"/>
      <c r="BC8" s="60">
        <f t="shared" si="19"/>
        <v>0</v>
      </c>
      <c r="BD8" s="45"/>
      <c r="BE8" s="45"/>
      <c r="BF8" s="60">
        <f t="shared" si="20"/>
        <v>0</v>
      </c>
      <c r="BG8" s="44"/>
      <c r="BH8" s="45"/>
      <c r="BI8" s="60">
        <f t="shared" si="21"/>
        <v>0</v>
      </c>
      <c r="BJ8" s="45"/>
      <c r="BK8" s="60">
        <f t="shared" si="9"/>
        <v>0</v>
      </c>
      <c r="BL8" s="61">
        <f t="shared" si="10"/>
        <v>0</v>
      </c>
      <c r="BM8" s="61">
        <f t="shared" si="24"/>
        <v>0</v>
      </c>
      <c r="BN8" s="61">
        <f t="shared" si="11"/>
        <v>30</v>
      </c>
    </row>
    <row r="9" spans="1:66">
      <c r="A9" s="37"/>
      <c r="B9" s="37"/>
      <c r="C9" s="37"/>
      <c r="D9" s="37"/>
      <c r="E9" s="37"/>
      <c r="F9" s="38"/>
      <c r="G9" s="36"/>
      <c r="H9" s="38"/>
      <c r="I9" s="39"/>
      <c r="J9" s="38"/>
      <c r="K9" s="39"/>
      <c r="L9" s="44"/>
      <c r="M9" s="45"/>
      <c r="N9" s="45">
        <v>5</v>
      </c>
      <c r="O9" s="65">
        <f>IF(N9&lt;1, Лист2!$C$3, IF(N9&lt;2, Лист2!$C$4, IF(Лист1!N9&lt;3, Лист2!$C$5, IF(Лист1!N9&lt;4, Лист2!$C$6, IF(Лист1!N9&lt;5, Лист2!$C$7, IF(Лист1!N9&lt;6, Лист2!$C$8, 0))))))</f>
        <v>160</v>
      </c>
      <c r="P9" s="66">
        <f t="shared" si="22"/>
        <v>48</v>
      </c>
      <c r="Q9" s="44"/>
      <c r="R9" s="45"/>
      <c r="S9" s="60">
        <f t="shared" si="12"/>
        <v>0</v>
      </c>
      <c r="T9" s="45"/>
      <c r="U9" s="60">
        <f t="shared" si="0"/>
        <v>0</v>
      </c>
      <c r="V9" s="45"/>
      <c r="W9" s="60">
        <f t="shared" si="1"/>
        <v>0</v>
      </c>
      <c r="X9" s="45"/>
      <c r="Y9" s="60">
        <f t="shared" si="2"/>
        <v>0</v>
      </c>
      <c r="Z9" s="45"/>
      <c r="AA9" s="60">
        <f t="shared" si="13"/>
        <v>0</v>
      </c>
      <c r="AB9" s="44"/>
      <c r="AC9" s="34"/>
      <c r="AD9" s="58">
        <f t="shared" si="14"/>
        <v>0</v>
      </c>
      <c r="AE9" s="44"/>
      <c r="AF9" s="45"/>
      <c r="AG9" s="58">
        <f t="shared" si="15"/>
        <v>0</v>
      </c>
      <c r="AH9" s="45"/>
      <c r="AI9" s="45"/>
      <c r="AJ9" s="60">
        <f t="shared" si="5"/>
        <v>0</v>
      </c>
      <c r="AK9" s="63">
        <f t="shared" si="23"/>
        <v>0</v>
      </c>
      <c r="AL9" s="63">
        <f t="shared" si="16"/>
        <v>0</v>
      </c>
      <c r="AM9" s="44"/>
      <c r="AN9" s="44"/>
      <c r="AO9" s="45"/>
      <c r="AP9" s="44"/>
      <c r="AQ9" s="45"/>
      <c r="AR9" s="58">
        <f t="shared" si="17"/>
        <v>0</v>
      </c>
      <c r="AS9" s="48"/>
      <c r="AT9" s="45"/>
      <c r="AU9" s="58">
        <f t="shared" si="18"/>
        <v>0</v>
      </c>
      <c r="AV9" s="45"/>
      <c r="AW9" s="45"/>
      <c r="AX9" s="60">
        <f t="shared" si="8"/>
        <v>0</v>
      </c>
      <c r="AY9" s="48"/>
      <c r="AZ9" s="45"/>
      <c r="BA9" s="48"/>
      <c r="BB9" s="45"/>
      <c r="BC9" s="60">
        <f t="shared" si="19"/>
        <v>0</v>
      </c>
      <c r="BD9" s="45"/>
      <c r="BE9" s="45"/>
      <c r="BF9" s="60">
        <f t="shared" si="20"/>
        <v>0</v>
      </c>
      <c r="BG9" s="44"/>
      <c r="BH9" s="45"/>
      <c r="BI9" s="60">
        <f t="shared" si="21"/>
        <v>0</v>
      </c>
      <c r="BJ9" s="45"/>
      <c r="BK9" s="60">
        <f t="shared" si="9"/>
        <v>0</v>
      </c>
      <c r="BL9" s="61">
        <f t="shared" si="10"/>
        <v>0</v>
      </c>
      <c r="BM9" s="61">
        <f t="shared" si="24"/>
        <v>0</v>
      </c>
      <c r="BN9" s="61">
        <f t="shared" si="11"/>
        <v>48</v>
      </c>
    </row>
    <row r="10" spans="1:66">
      <c r="A10" s="37"/>
      <c r="B10" s="37"/>
      <c r="C10" s="37"/>
      <c r="D10" s="37"/>
      <c r="E10" s="37"/>
      <c r="F10" s="38"/>
      <c r="G10" s="36"/>
      <c r="H10" s="38"/>
      <c r="I10" s="39"/>
      <c r="J10" s="38"/>
      <c r="K10" s="39"/>
      <c r="L10" s="44"/>
      <c r="M10" s="45"/>
      <c r="N10" s="45"/>
      <c r="O10" s="65">
        <f>IF(N10&lt;1, Лист2!$C$3, IF(N10&lt;2, Лист2!$C$4, IF(Лист1!N10&lt;3, Лист2!$C$5, IF(Лист1!N10&lt;4, Лист2!$C$6, IF(Лист1!N10&lt;5, Лист2!$C$7, IF(Лист1!N10&lt;6, Лист2!$C$8, 0))))))</f>
        <v>0</v>
      </c>
      <c r="P10" s="66">
        <f t="shared" si="22"/>
        <v>0</v>
      </c>
      <c r="Q10" s="44"/>
      <c r="R10" s="45"/>
      <c r="S10" s="60">
        <f t="shared" si="12"/>
        <v>0</v>
      </c>
      <c r="T10" s="45"/>
      <c r="U10" s="60">
        <f t="shared" si="0"/>
        <v>0</v>
      </c>
      <c r="V10" s="45"/>
      <c r="W10" s="60">
        <f t="shared" si="1"/>
        <v>0</v>
      </c>
      <c r="X10" s="45"/>
      <c r="Y10" s="60">
        <f t="shared" si="2"/>
        <v>0</v>
      </c>
      <c r="Z10" s="45"/>
      <c r="AA10" s="60">
        <f t="shared" si="13"/>
        <v>0</v>
      </c>
      <c r="AB10" s="44"/>
      <c r="AC10" s="34"/>
      <c r="AD10" s="58">
        <f t="shared" si="14"/>
        <v>0</v>
      </c>
      <c r="AE10" s="44"/>
      <c r="AF10" s="45"/>
      <c r="AG10" s="58">
        <f t="shared" si="15"/>
        <v>0</v>
      </c>
      <c r="AH10" s="45"/>
      <c r="AI10" s="45"/>
      <c r="AJ10" s="60">
        <f t="shared" si="5"/>
        <v>0</v>
      </c>
      <c r="AK10" s="63">
        <f t="shared" si="23"/>
        <v>0</v>
      </c>
      <c r="AL10" s="63">
        <f t="shared" si="16"/>
        <v>0</v>
      </c>
      <c r="AM10" s="44"/>
      <c r="AN10" s="44"/>
      <c r="AO10" s="45"/>
      <c r="AP10" s="44"/>
      <c r="AQ10" s="45"/>
      <c r="AR10" s="58">
        <f t="shared" si="17"/>
        <v>0</v>
      </c>
      <c r="AS10" s="48"/>
      <c r="AT10" s="45"/>
      <c r="AU10" s="58">
        <f t="shared" si="18"/>
        <v>0</v>
      </c>
      <c r="AV10" s="45"/>
      <c r="AW10" s="45"/>
      <c r="AX10" s="60">
        <f t="shared" si="8"/>
        <v>0</v>
      </c>
      <c r="AY10" s="48"/>
      <c r="AZ10" s="45"/>
      <c r="BA10" s="48"/>
      <c r="BB10" s="45"/>
      <c r="BC10" s="60">
        <f t="shared" si="19"/>
        <v>0</v>
      </c>
      <c r="BD10" s="45"/>
      <c r="BE10" s="45"/>
      <c r="BF10" s="60">
        <f t="shared" si="20"/>
        <v>0</v>
      </c>
      <c r="BG10" s="44"/>
      <c r="BH10" s="45"/>
      <c r="BI10" s="60">
        <f t="shared" si="21"/>
        <v>0</v>
      </c>
      <c r="BJ10" s="45"/>
      <c r="BK10" s="60">
        <f t="shared" si="9"/>
        <v>0</v>
      </c>
      <c r="BL10" s="61">
        <f t="shared" si="10"/>
        <v>0</v>
      </c>
      <c r="BM10" s="61">
        <f t="shared" si="24"/>
        <v>0</v>
      </c>
      <c r="BN10" s="61">
        <f t="shared" si="11"/>
        <v>0</v>
      </c>
    </row>
    <row r="11" spans="1:66">
      <c r="A11" s="37"/>
      <c r="B11" s="37"/>
      <c r="C11" s="37"/>
      <c r="D11" s="37"/>
      <c r="E11" s="37"/>
      <c r="F11" s="38"/>
      <c r="G11" s="36"/>
      <c r="H11" s="38"/>
      <c r="I11" s="39"/>
      <c r="J11" s="38"/>
      <c r="K11" s="39"/>
      <c r="L11" s="44"/>
      <c r="M11" s="45"/>
      <c r="N11" s="45"/>
      <c r="O11" s="65">
        <f>IF(N11&lt;1, Лист2!$C$3, IF(N11&lt;2, Лист2!$C$4, IF(Лист1!N11&lt;3, Лист2!$C$5, IF(Лист1!N11&lt;4, Лист2!$C$6, IF(Лист1!N11&lt;5, Лист2!$C$7, IF(Лист1!N11&lt;6, Лист2!$C$8, 0))))))</f>
        <v>0</v>
      </c>
      <c r="P11" s="66">
        <f t="shared" si="22"/>
        <v>0</v>
      </c>
      <c r="Q11" s="44"/>
      <c r="R11" s="45"/>
      <c r="S11" s="60">
        <f>IF(R11&lt;3, R11*10, 20)</f>
        <v>0</v>
      </c>
      <c r="T11" s="45"/>
      <c r="U11" s="60">
        <f>IF(T11&lt;3, T11*10, 20)</f>
        <v>0</v>
      </c>
      <c r="V11" s="45"/>
      <c r="W11" s="60">
        <f>IF(V11&lt;14, V11*1.5, 20)</f>
        <v>0</v>
      </c>
      <c r="X11" s="45"/>
      <c r="Y11" s="60">
        <f>IF(X11&lt;20, X11*1, 20)</f>
        <v>0</v>
      </c>
      <c r="Z11" s="45"/>
      <c r="AA11" s="60">
        <f>IF(Z11&lt;10, Z11*2, 20)</f>
        <v>0</v>
      </c>
      <c r="AB11" s="44"/>
      <c r="AC11" s="34"/>
      <c r="AD11" s="58">
        <f t="shared" si="14"/>
        <v>0</v>
      </c>
      <c r="AE11" s="44"/>
      <c r="AF11" s="45"/>
      <c r="AG11" s="58">
        <f t="shared" si="15"/>
        <v>0</v>
      </c>
      <c r="AH11" s="45"/>
      <c r="AI11" s="45"/>
      <c r="AJ11" s="60">
        <f>IF(AH11*3+AI11*2&lt;20, AH11*3+AI11*2, 20)</f>
        <v>0</v>
      </c>
      <c r="AK11" s="63">
        <f>S11+U11+W11+Y11+AA11+AD11+AG11+AJ11</f>
        <v>0</v>
      </c>
      <c r="AL11" s="63">
        <f t="shared" si="16"/>
        <v>0</v>
      </c>
      <c r="AM11" s="44"/>
      <c r="AN11" s="44"/>
      <c r="AO11" s="45"/>
      <c r="AP11" s="44"/>
      <c r="AQ11" s="45"/>
      <c r="AR11" s="58">
        <f t="shared" si="17"/>
        <v>0</v>
      </c>
      <c r="AS11" s="48"/>
      <c r="AT11" s="45"/>
      <c r="AU11" s="58">
        <f t="shared" si="18"/>
        <v>0</v>
      </c>
      <c r="AV11" s="45"/>
      <c r="AW11" s="45"/>
      <c r="AX11" s="60">
        <f t="shared" si="8"/>
        <v>0</v>
      </c>
      <c r="AY11" s="48"/>
      <c r="AZ11" s="45"/>
      <c r="BA11" s="48"/>
      <c r="BB11" s="45"/>
      <c r="BC11" s="60">
        <f t="shared" si="19"/>
        <v>0</v>
      </c>
      <c r="BD11" s="45"/>
      <c r="BE11" s="45"/>
      <c r="BF11" s="60">
        <f t="shared" si="20"/>
        <v>0</v>
      </c>
      <c r="BG11" s="44"/>
      <c r="BH11" s="45"/>
      <c r="BI11" s="60">
        <f t="shared" si="21"/>
        <v>0</v>
      </c>
      <c r="BJ11" s="45"/>
      <c r="BK11" s="60">
        <f>BJ11*10</f>
        <v>0</v>
      </c>
      <c r="BL11" s="61">
        <f t="shared" si="10"/>
        <v>0</v>
      </c>
      <c r="BM11" s="61">
        <f t="shared" si="24"/>
        <v>0</v>
      </c>
      <c r="BN11" s="61">
        <f t="shared" si="11"/>
        <v>0</v>
      </c>
    </row>
    <row r="14" spans="1:66" ht="20.25">
      <c r="B14" s="67" t="s">
        <v>198</v>
      </c>
    </row>
    <row r="15" spans="1:66" ht="20.25">
      <c r="C15" s="67"/>
    </row>
    <row r="16" spans="1:66" ht="20.25">
      <c r="B16" s="67" t="s">
        <v>197</v>
      </c>
      <c r="C16" s="67"/>
    </row>
    <row r="17" spans="2:3" ht="20.25">
      <c r="B17" s="67"/>
      <c r="C17" s="67"/>
    </row>
    <row r="18" spans="2:3" ht="20.25">
      <c r="B18" s="67" t="s">
        <v>199</v>
      </c>
      <c r="C18" s="67"/>
    </row>
    <row r="19" spans="2:3" ht="20.25">
      <c r="B19" s="67" t="s">
        <v>200</v>
      </c>
      <c r="C19" s="67"/>
    </row>
    <row r="20" spans="2:3" ht="20.25">
      <c r="B20" s="67"/>
      <c r="C20" s="67"/>
    </row>
    <row r="21" spans="2:3" ht="20.25">
      <c r="B21" s="67" t="s">
        <v>203</v>
      </c>
      <c r="C21" s="67"/>
    </row>
    <row r="22" spans="2:3" ht="20.25">
      <c r="B22" s="67"/>
      <c r="C22" s="67"/>
    </row>
    <row r="23" spans="2:3">
      <c r="B23" s="37" t="s">
        <v>201</v>
      </c>
      <c r="C23" s="68" t="s">
        <v>202</v>
      </c>
    </row>
    <row r="24" spans="2:3" ht="20.25">
      <c r="B24" s="67"/>
      <c r="C24" s="67"/>
    </row>
    <row r="25" spans="2:3" ht="20.25">
      <c r="B25" s="67" t="s">
        <v>206</v>
      </c>
      <c r="C25" s="67"/>
    </row>
    <row r="26" spans="2:3" ht="20.25">
      <c r="B26" s="67"/>
      <c r="C26" s="67"/>
    </row>
    <row r="27" spans="2:3">
      <c r="B27" s="37" t="s">
        <v>207</v>
      </c>
      <c r="C27" s="68" t="s">
        <v>208</v>
      </c>
    </row>
    <row r="38" spans="19:20" ht="25.5" customHeight="1"/>
    <row r="40" spans="19:20">
      <c r="S40" s="49"/>
      <c r="T40" s="50"/>
    </row>
  </sheetData>
  <sheetProtection password="CE28" sheet="1" objects="1" scenarios="1" selectLockedCells="1"/>
  <mergeCells count="34">
    <mergeCell ref="BG3:BI3"/>
    <mergeCell ref="BD3:BF3"/>
    <mergeCell ref="AN3:AR3"/>
    <mergeCell ref="AS3:AU3"/>
    <mergeCell ref="AV3:AX3"/>
    <mergeCell ref="AY3:BC3"/>
    <mergeCell ref="BN3:BN4"/>
    <mergeCell ref="AN2:BN2"/>
    <mergeCell ref="M2:P2"/>
    <mergeCell ref="M3:P3"/>
    <mergeCell ref="AH3:AJ3"/>
    <mergeCell ref="R2:AL2"/>
    <mergeCell ref="AK3:AL3"/>
    <mergeCell ref="R3:S3"/>
    <mergeCell ref="T3:U3"/>
    <mergeCell ref="V3:W3"/>
    <mergeCell ref="X3:Y3"/>
    <mergeCell ref="Z3:AA3"/>
    <mergeCell ref="AB3:AD3"/>
    <mergeCell ref="AE3:AG3"/>
    <mergeCell ref="BJ3:BK3"/>
    <mergeCell ref="BL3:BM3"/>
    <mergeCell ref="A2:A4"/>
    <mergeCell ref="B2:K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W40"/>
  <sheetViews>
    <sheetView zoomScale="78" zoomScaleNormal="78" workbookViewId="0">
      <selection activeCell="D25" sqref="D25"/>
    </sheetView>
  </sheetViews>
  <sheetFormatPr defaultRowHeight="15"/>
  <cols>
    <col min="1" max="1" width="20.42578125" style="1" customWidth="1"/>
    <col min="2" max="2" width="12.42578125" customWidth="1"/>
    <col min="3" max="3" width="10.42578125" customWidth="1"/>
    <col min="4" max="4" width="11.42578125" customWidth="1"/>
    <col min="6" max="6" width="10" customWidth="1"/>
    <col min="12" max="12" width="15.42578125" customWidth="1"/>
    <col min="14" max="14" width="12.42578125" customWidth="1"/>
    <col min="19" max="19" width="74.42578125" style="23" customWidth="1"/>
    <col min="20" max="20" width="32.42578125" customWidth="1"/>
    <col min="21" max="21" width="9.5703125" customWidth="1"/>
  </cols>
  <sheetData>
    <row r="1" spans="1:23">
      <c r="A1" s="1" t="s">
        <v>66</v>
      </c>
    </row>
    <row r="2" spans="1:23" s="10" customFormat="1" ht="52.5">
      <c r="A2" s="9"/>
      <c r="B2" s="11" t="s">
        <v>65</v>
      </c>
      <c r="C2" s="5" t="s">
        <v>91</v>
      </c>
    </row>
    <row r="3" spans="1:23" ht="51.75" customHeight="1">
      <c r="A3" s="13" t="s">
        <v>97</v>
      </c>
      <c r="B3" s="6">
        <v>0</v>
      </c>
      <c r="C3" s="7">
        <v>0</v>
      </c>
    </row>
    <row r="4" spans="1:23">
      <c r="A4" s="13"/>
      <c r="B4" s="6">
        <v>1</v>
      </c>
      <c r="C4" s="7">
        <v>20</v>
      </c>
    </row>
    <row r="5" spans="1:23">
      <c r="B5" s="6">
        <v>2</v>
      </c>
      <c r="C5" s="7">
        <v>40</v>
      </c>
    </row>
    <row r="6" spans="1:23">
      <c r="B6" s="6">
        <v>3</v>
      </c>
      <c r="C6" s="7">
        <v>60</v>
      </c>
      <c r="P6" s="2"/>
      <c r="Q6" s="2"/>
      <c r="R6" s="2"/>
      <c r="V6" s="2"/>
      <c r="W6" s="2"/>
    </row>
    <row r="7" spans="1:23" ht="22.5" customHeight="1">
      <c r="B7" s="6">
        <v>4</v>
      </c>
      <c r="C7" s="7">
        <v>100</v>
      </c>
      <c r="P7" s="2"/>
      <c r="Q7" s="2"/>
      <c r="R7" s="2"/>
      <c r="V7" s="2"/>
      <c r="W7" s="2"/>
    </row>
    <row r="8" spans="1:23">
      <c r="B8" s="6">
        <v>5</v>
      </c>
      <c r="C8" s="7">
        <v>160</v>
      </c>
      <c r="P8" s="2"/>
      <c r="Q8" s="2"/>
      <c r="R8" s="2"/>
      <c r="V8" s="2"/>
      <c r="W8" s="2"/>
    </row>
    <row r="9" spans="1:23">
      <c r="P9" s="2"/>
      <c r="Q9" s="2"/>
      <c r="R9" s="2"/>
      <c r="S9" s="24" t="s">
        <v>67</v>
      </c>
      <c r="T9" s="24"/>
      <c r="U9" s="24"/>
      <c r="V9" s="2"/>
      <c r="W9" s="2"/>
    </row>
    <row r="10" spans="1:23" ht="51" customHeight="1">
      <c r="A10" s="13" t="s">
        <v>67</v>
      </c>
      <c r="B10" s="95" t="s">
        <v>35</v>
      </c>
      <c r="C10" s="97"/>
      <c r="D10" s="95" t="s">
        <v>36</v>
      </c>
      <c r="E10" s="97"/>
      <c r="F10" s="95" t="s">
        <v>31</v>
      </c>
      <c r="G10" s="97"/>
      <c r="H10" s="95" t="s">
        <v>32</v>
      </c>
      <c r="I10" s="97"/>
      <c r="J10" s="95" t="s">
        <v>33</v>
      </c>
      <c r="K10" s="97"/>
      <c r="L10" s="95" t="s">
        <v>52</v>
      </c>
      <c r="M10" s="97"/>
      <c r="N10" s="95" t="s">
        <v>53</v>
      </c>
      <c r="O10" s="97"/>
      <c r="P10" s="95" t="s">
        <v>57</v>
      </c>
      <c r="Q10" s="96"/>
      <c r="R10" s="2"/>
      <c r="S10" s="15" t="s">
        <v>121</v>
      </c>
      <c r="T10" s="16" t="s">
        <v>134</v>
      </c>
      <c r="U10" s="26" t="s">
        <v>122</v>
      </c>
      <c r="V10" s="2"/>
      <c r="W10" s="2"/>
    </row>
    <row r="11" spans="1:23" ht="26.25" customHeight="1">
      <c r="B11" s="8" t="s">
        <v>58</v>
      </c>
      <c r="C11" s="8" t="s">
        <v>59</v>
      </c>
      <c r="D11" s="8" t="s">
        <v>58</v>
      </c>
      <c r="E11" s="8" t="s">
        <v>59</v>
      </c>
      <c r="F11" s="8" t="s">
        <v>60</v>
      </c>
      <c r="G11" s="8" t="s">
        <v>59</v>
      </c>
      <c r="H11" s="8" t="s">
        <v>61</v>
      </c>
      <c r="I11" s="8" t="s">
        <v>59</v>
      </c>
      <c r="J11" s="8" t="s">
        <v>62</v>
      </c>
      <c r="K11" s="8" t="s">
        <v>59</v>
      </c>
      <c r="L11" s="8" t="s">
        <v>63</v>
      </c>
      <c r="M11" s="8" t="s">
        <v>59</v>
      </c>
      <c r="N11" s="8" t="s">
        <v>63</v>
      </c>
      <c r="O11" s="8" t="s">
        <v>59</v>
      </c>
      <c r="P11" s="8" t="s">
        <v>64</v>
      </c>
      <c r="Q11" s="8" t="s">
        <v>59</v>
      </c>
      <c r="R11" s="2"/>
      <c r="S11" s="18" t="s">
        <v>114</v>
      </c>
      <c r="T11" s="18" t="s">
        <v>123</v>
      </c>
      <c r="U11" s="7">
        <v>10</v>
      </c>
      <c r="V11" s="2"/>
      <c r="W11" s="2"/>
    </row>
    <row r="12" spans="1:23" ht="26.25" customHeight="1"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8">
        <v>0</v>
      </c>
      <c r="P12" s="17">
        <v>0</v>
      </c>
      <c r="Q12" s="8">
        <v>0</v>
      </c>
      <c r="R12" s="2"/>
      <c r="S12" s="18" t="s">
        <v>115</v>
      </c>
      <c r="T12" s="18" t="s">
        <v>124</v>
      </c>
      <c r="U12" s="7">
        <v>20</v>
      </c>
      <c r="V12" s="2"/>
      <c r="W12" s="2"/>
    </row>
    <row r="13" spans="1:23" ht="24" customHeight="1">
      <c r="B13" s="6">
        <v>1</v>
      </c>
      <c r="C13" s="6">
        <v>5</v>
      </c>
      <c r="D13" s="6">
        <v>1</v>
      </c>
      <c r="E13" s="6">
        <v>5</v>
      </c>
      <c r="F13" s="12" t="s">
        <v>39</v>
      </c>
      <c r="G13" s="6">
        <v>5</v>
      </c>
      <c r="H13" s="12" t="s">
        <v>37</v>
      </c>
      <c r="I13" s="6">
        <v>5</v>
      </c>
      <c r="J13" s="6">
        <v>1</v>
      </c>
      <c r="K13" s="6">
        <v>5</v>
      </c>
      <c r="L13" s="12" t="s">
        <v>44</v>
      </c>
      <c r="M13" s="6">
        <v>5</v>
      </c>
      <c r="N13" s="12" t="s">
        <v>54</v>
      </c>
      <c r="O13" s="7">
        <v>5</v>
      </c>
      <c r="P13" s="6" t="s">
        <v>94</v>
      </c>
      <c r="Q13" s="7">
        <v>5</v>
      </c>
      <c r="R13" s="2"/>
      <c r="S13" s="18" t="s">
        <v>116</v>
      </c>
      <c r="T13" s="18" t="s">
        <v>125</v>
      </c>
      <c r="U13" s="7">
        <v>1.5</v>
      </c>
      <c r="V13" s="2"/>
    </row>
    <row r="14" spans="1:23" ht="24" customHeight="1">
      <c r="B14" s="6">
        <v>2</v>
      </c>
      <c r="C14" s="6">
        <v>10</v>
      </c>
      <c r="D14" s="6">
        <v>2</v>
      </c>
      <c r="E14" s="6">
        <v>10</v>
      </c>
      <c r="F14" s="12" t="s">
        <v>40</v>
      </c>
      <c r="G14" s="6">
        <v>10</v>
      </c>
      <c r="H14" s="12" t="s">
        <v>38</v>
      </c>
      <c r="I14" s="6">
        <v>10</v>
      </c>
      <c r="J14" s="6">
        <v>2</v>
      </c>
      <c r="K14" s="6">
        <v>10</v>
      </c>
      <c r="L14" s="12" t="s">
        <v>43</v>
      </c>
      <c r="M14" s="6">
        <v>10</v>
      </c>
      <c r="N14" s="12" t="s">
        <v>55</v>
      </c>
      <c r="O14" s="7">
        <v>10</v>
      </c>
      <c r="P14" s="6" t="s">
        <v>95</v>
      </c>
      <c r="Q14" s="7">
        <v>10</v>
      </c>
      <c r="R14" s="2"/>
      <c r="S14" s="18" t="s">
        <v>117</v>
      </c>
      <c r="T14" s="18" t="s">
        <v>126</v>
      </c>
      <c r="U14" s="7">
        <v>1</v>
      </c>
      <c r="V14" s="2"/>
    </row>
    <row r="15" spans="1:23" ht="23.25" customHeight="1">
      <c r="B15" s="6" t="s">
        <v>93</v>
      </c>
      <c r="C15" s="6">
        <v>20</v>
      </c>
      <c r="D15" s="6" t="s">
        <v>93</v>
      </c>
      <c r="E15" s="6">
        <v>20</v>
      </c>
      <c r="F15" s="12" t="s">
        <v>90</v>
      </c>
      <c r="G15" s="6">
        <v>20</v>
      </c>
      <c r="H15" s="12" t="s">
        <v>89</v>
      </c>
      <c r="I15" s="6">
        <v>20</v>
      </c>
      <c r="J15" s="6" t="s">
        <v>93</v>
      </c>
      <c r="K15" s="6">
        <v>20</v>
      </c>
      <c r="L15" s="12" t="s">
        <v>42</v>
      </c>
      <c r="M15" s="6">
        <v>20</v>
      </c>
      <c r="N15" s="12" t="s">
        <v>56</v>
      </c>
      <c r="O15" s="7">
        <v>20</v>
      </c>
      <c r="P15" s="6" t="s">
        <v>96</v>
      </c>
      <c r="Q15" s="7">
        <v>20</v>
      </c>
      <c r="R15" s="2"/>
      <c r="S15" s="18" t="s">
        <v>118</v>
      </c>
      <c r="T15" s="18" t="s">
        <v>127</v>
      </c>
      <c r="U15" s="7">
        <v>2</v>
      </c>
      <c r="V15" s="2"/>
    </row>
    <row r="16" spans="1:23" ht="24">
      <c r="S16" s="93" t="s">
        <v>119</v>
      </c>
      <c r="T16" s="18" t="s">
        <v>128</v>
      </c>
      <c r="U16" s="7" t="s">
        <v>130</v>
      </c>
    </row>
    <row r="17" spans="1:23">
      <c r="S17" s="94"/>
      <c r="T17" s="18" t="s">
        <v>129</v>
      </c>
      <c r="U17" s="7">
        <v>20</v>
      </c>
    </row>
    <row r="18" spans="1:23" ht="24" customHeight="1">
      <c r="A18" s="13" t="s">
        <v>68</v>
      </c>
      <c r="B18" s="95" t="s">
        <v>78</v>
      </c>
      <c r="C18" s="96"/>
      <c r="D18" s="95" t="s">
        <v>71</v>
      </c>
      <c r="E18" s="96"/>
      <c r="F18" s="95" t="s">
        <v>79</v>
      </c>
      <c r="G18" s="96"/>
      <c r="H18" s="95" t="s">
        <v>47</v>
      </c>
      <c r="I18" s="96"/>
      <c r="J18" s="95" t="s">
        <v>48</v>
      </c>
      <c r="K18" s="96"/>
      <c r="L18" s="3" t="s">
        <v>49</v>
      </c>
      <c r="M18" s="4"/>
      <c r="N18" s="95" t="s">
        <v>50</v>
      </c>
      <c r="O18" s="96"/>
      <c r="S18" s="91" t="s">
        <v>120</v>
      </c>
      <c r="T18" s="18" t="s">
        <v>131</v>
      </c>
      <c r="U18" s="7" t="s">
        <v>133</v>
      </c>
    </row>
    <row r="19" spans="1:23" ht="26.25" customHeight="1">
      <c r="B19" s="8" t="s">
        <v>63</v>
      </c>
      <c r="C19" s="8" t="s">
        <v>59</v>
      </c>
      <c r="D19" s="8" t="s">
        <v>70</v>
      </c>
      <c r="E19" s="8" t="s">
        <v>59</v>
      </c>
      <c r="F19" s="8" t="s">
        <v>70</v>
      </c>
      <c r="G19" s="8" t="s">
        <v>59</v>
      </c>
      <c r="H19" s="8" t="s">
        <v>70</v>
      </c>
      <c r="I19" s="8" t="s">
        <v>59</v>
      </c>
      <c r="J19" s="8" t="s">
        <v>64</v>
      </c>
      <c r="K19" s="8" t="s">
        <v>59</v>
      </c>
      <c r="L19" s="8" t="s">
        <v>69</v>
      </c>
      <c r="M19" s="8" t="s">
        <v>59</v>
      </c>
      <c r="N19" s="8" t="s">
        <v>69</v>
      </c>
      <c r="O19" s="8" t="s">
        <v>59</v>
      </c>
      <c r="S19" s="92"/>
      <c r="T19" s="18" t="s">
        <v>132</v>
      </c>
      <c r="U19" s="7">
        <v>2</v>
      </c>
      <c r="V19" s="2"/>
      <c r="W19" s="2"/>
    </row>
    <row r="20" spans="1:23" ht="26.25" customHeight="1"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8">
        <v>0</v>
      </c>
      <c r="S20" s="19"/>
      <c r="T20" s="25" t="s">
        <v>135</v>
      </c>
      <c r="U20" s="21"/>
      <c r="V20" s="2"/>
      <c r="W20" s="2"/>
    </row>
    <row r="21" spans="1:23" ht="24" customHeight="1">
      <c r="B21" s="12" t="s">
        <v>72</v>
      </c>
      <c r="C21" s="6">
        <v>5</v>
      </c>
      <c r="D21" s="6" t="s">
        <v>209</v>
      </c>
      <c r="E21" s="6">
        <v>10</v>
      </c>
      <c r="F21" s="6">
        <v>1</v>
      </c>
      <c r="G21" s="6">
        <v>5</v>
      </c>
      <c r="H21" s="6" t="s">
        <v>82</v>
      </c>
      <c r="I21" s="6">
        <v>5</v>
      </c>
      <c r="J21" s="6" t="s">
        <v>94</v>
      </c>
      <c r="K21" s="6">
        <v>5</v>
      </c>
      <c r="L21" s="6" t="s">
        <v>45</v>
      </c>
      <c r="M21" s="6">
        <v>10</v>
      </c>
      <c r="N21" s="6"/>
      <c r="O21" s="7">
        <v>10</v>
      </c>
      <c r="V21" s="2"/>
    </row>
    <row r="22" spans="1:23" ht="36">
      <c r="B22" s="12" t="s">
        <v>77</v>
      </c>
      <c r="C22" s="6">
        <v>10</v>
      </c>
      <c r="D22" s="6" t="s">
        <v>210</v>
      </c>
      <c r="E22" s="6">
        <v>20</v>
      </c>
      <c r="F22" s="6">
        <v>2</v>
      </c>
      <c r="G22" s="6">
        <v>10</v>
      </c>
      <c r="H22" s="6" t="s">
        <v>83</v>
      </c>
      <c r="I22" s="6">
        <v>20</v>
      </c>
      <c r="J22" s="6" t="s">
        <v>95</v>
      </c>
      <c r="K22" s="6">
        <v>10</v>
      </c>
      <c r="L22" s="6" t="s">
        <v>46</v>
      </c>
      <c r="M22" s="6">
        <v>10</v>
      </c>
      <c r="N22" s="6" t="s">
        <v>45</v>
      </c>
      <c r="O22" s="7">
        <v>20</v>
      </c>
      <c r="S22" s="24" t="s">
        <v>68</v>
      </c>
      <c r="V22" s="2"/>
    </row>
    <row r="23" spans="1:23" ht="23.25" customHeight="1">
      <c r="B23" s="12" t="s">
        <v>76</v>
      </c>
      <c r="C23" s="6">
        <v>20</v>
      </c>
      <c r="D23" s="6" t="s">
        <v>211</v>
      </c>
      <c r="E23" s="6">
        <v>30</v>
      </c>
      <c r="F23" s="6" t="s">
        <v>93</v>
      </c>
      <c r="G23" s="6">
        <v>20</v>
      </c>
      <c r="H23" s="6"/>
      <c r="I23" s="6"/>
      <c r="J23" s="6" t="s">
        <v>96</v>
      </c>
      <c r="K23" s="6">
        <v>20</v>
      </c>
      <c r="L23" s="6"/>
      <c r="M23" s="6">
        <v>20</v>
      </c>
      <c r="N23" s="6" t="s">
        <v>46</v>
      </c>
      <c r="O23" s="7">
        <v>40</v>
      </c>
      <c r="S23" s="93" t="s">
        <v>136</v>
      </c>
      <c r="T23" s="18" t="s">
        <v>128</v>
      </c>
      <c r="U23" s="7" t="s">
        <v>130</v>
      </c>
      <c r="V23" s="2"/>
    </row>
    <row r="24" spans="1:23" ht="24">
      <c r="B24" s="12" t="s">
        <v>73</v>
      </c>
      <c r="C24" s="7">
        <v>5</v>
      </c>
      <c r="D24" s="6" t="s">
        <v>212</v>
      </c>
      <c r="E24" s="7">
        <v>40</v>
      </c>
      <c r="S24" s="94"/>
      <c r="T24" s="18" t="s">
        <v>129</v>
      </c>
      <c r="U24" s="7">
        <v>20</v>
      </c>
    </row>
    <row r="25" spans="1:23" ht="48">
      <c r="B25" s="12" t="s">
        <v>75</v>
      </c>
      <c r="C25" s="7">
        <v>10</v>
      </c>
      <c r="S25" s="93" t="s">
        <v>137</v>
      </c>
      <c r="T25" s="18" t="s">
        <v>148</v>
      </c>
      <c r="U25" s="7">
        <v>40</v>
      </c>
    </row>
    <row r="26" spans="1:23" ht="24">
      <c r="B26" s="12" t="s">
        <v>74</v>
      </c>
      <c r="C26" s="7">
        <v>20</v>
      </c>
      <c r="S26" s="98"/>
      <c r="T26" s="18" t="s">
        <v>145</v>
      </c>
      <c r="U26" s="7">
        <v>30</v>
      </c>
    </row>
    <row r="27" spans="1:23">
      <c r="S27" s="98"/>
      <c r="T27" s="18" t="s">
        <v>146</v>
      </c>
      <c r="U27" s="7">
        <v>20</v>
      </c>
    </row>
    <row r="28" spans="1:23">
      <c r="S28" s="94"/>
      <c r="T28" s="18" t="s">
        <v>147</v>
      </c>
      <c r="U28" s="7">
        <v>10</v>
      </c>
    </row>
    <row r="29" spans="1:23">
      <c r="S29" s="18" t="s">
        <v>138</v>
      </c>
      <c r="T29" s="18" t="s">
        <v>149</v>
      </c>
      <c r="U29" s="7">
        <v>5</v>
      </c>
    </row>
    <row r="30" spans="1:23" ht="36">
      <c r="S30" s="18" t="s">
        <v>139</v>
      </c>
      <c r="T30" s="18" t="s">
        <v>150</v>
      </c>
      <c r="U30" s="7">
        <v>7</v>
      </c>
    </row>
    <row r="31" spans="1:23">
      <c r="S31" s="18" t="s">
        <v>140</v>
      </c>
      <c r="T31" s="18"/>
      <c r="U31" s="7"/>
    </row>
    <row r="32" spans="1:23">
      <c r="S32" s="18" t="s">
        <v>82</v>
      </c>
      <c r="T32" s="18" t="s">
        <v>149</v>
      </c>
      <c r="U32" s="7">
        <v>5</v>
      </c>
    </row>
    <row r="33" spans="19:21">
      <c r="S33" s="18" t="s">
        <v>141</v>
      </c>
      <c r="T33" s="18" t="s">
        <v>151</v>
      </c>
      <c r="U33" s="7">
        <v>20</v>
      </c>
    </row>
    <row r="34" spans="19:21" ht="36">
      <c r="S34" s="93" t="s">
        <v>142</v>
      </c>
      <c r="T34" s="18" t="s">
        <v>152</v>
      </c>
      <c r="U34" s="7">
        <v>10</v>
      </c>
    </row>
    <row r="35" spans="19:21">
      <c r="S35" s="94"/>
      <c r="T35" s="18" t="s">
        <v>153</v>
      </c>
      <c r="U35" s="7">
        <v>5</v>
      </c>
    </row>
    <row r="36" spans="19:21" ht="31.5" customHeight="1">
      <c r="S36" s="93" t="s">
        <v>143</v>
      </c>
      <c r="T36" s="18" t="s">
        <v>154</v>
      </c>
      <c r="U36" s="7">
        <v>15</v>
      </c>
    </row>
    <row r="37" spans="19:21">
      <c r="S37" s="94"/>
      <c r="T37" s="18" t="s">
        <v>155</v>
      </c>
      <c r="U37" s="7">
        <v>10</v>
      </c>
    </row>
    <row r="38" spans="19:21" ht="25.5" customHeight="1">
      <c r="S38" s="93" t="s">
        <v>144</v>
      </c>
      <c r="T38" s="18" t="s">
        <v>154</v>
      </c>
      <c r="U38" s="7">
        <v>40</v>
      </c>
    </row>
    <row r="39" spans="19:21">
      <c r="S39" s="94"/>
      <c r="T39" s="18" t="s">
        <v>155</v>
      </c>
      <c r="U39" s="7">
        <v>20</v>
      </c>
    </row>
    <row r="40" spans="19:21">
      <c r="S40" s="20"/>
      <c r="T40" s="25" t="s">
        <v>135</v>
      </c>
      <c r="U40" s="21"/>
    </row>
  </sheetData>
  <mergeCells count="21">
    <mergeCell ref="S25:S28"/>
    <mergeCell ref="S34:S35"/>
    <mergeCell ref="S36:S37"/>
    <mergeCell ref="S38:S39"/>
    <mergeCell ref="S23:S24"/>
    <mergeCell ref="S18:S19"/>
    <mergeCell ref="S16:S17"/>
    <mergeCell ref="B18:C18"/>
    <mergeCell ref="B10:C10"/>
    <mergeCell ref="D10:E10"/>
    <mergeCell ref="F10:G10"/>
    <mergeCell ref="H10:I10"/>
    <mergeCell ref="F18:G18"/>
    <mergeCell ref="D18:E18"/>
    <mergeCell ref="H18:I18"/>
    <mergeCell ref="P10:Q10"/>
    <mergeCell ref="L10:M10"/>
    <mergeCell ref="N10:O10"/>
    <mergeCell ref="J18:K18"/>
    <mergeCell ref="N18:O18"/>
    <mergeCell ref="J10:K10"/>
  </mergeCells>
  <phoneticPr fontId="14"/>
  <pageMargins left="3.937007874015748E-2" right="3.937007874015748E-2" top="0.15748031496062992" bottom="0.19685039370078741" header="0.11811023622047244" footer="0.11811023622047244"/>
  <pageSetup paperSize="9" scale="78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40"/>
  <sheetViews>
    <sheetView zoomScale="78" zoomScaleNormal="78" workbookViewId="0">
      <selection activeCell="M21" sqref="M21"/>
    </sheetView>
  </sheetViews>
  <sheetFormatPr defaultRowHeight="15"/>
  <cols>
    <col min="1" max="1" width="17.5703125" customWidth="1"/>
    <col min="2" max="2" width="7.42578125" customWidth="1"/>
    <col min="3" max="3" width="10.42578125" customWidth="1"/>
    <col min="5" max="5" width="9.140625" customWidth="1"/>
    <col min="6" max="6" width="15.85546875" customWidth="1"/>
    <col min="13" max="13" width="14.42578125" customWidth="1"/>
  </cols>
  <sheetData>
    <row r="1" spans="1:13" s="1" customFormat="1" ht="14.25">
      <c r="A1" s="1" t="s">
        <v>109</v>
      </c>
      <c r="H1" s="1" t="s">
        <v>111</v>
      </c>
    </row>
    <row r="2" spans="1:13" ht="24">
      <c r="A2" s="14" t="s">
        <v>103</v>
      </c>
      <c r="B2" s="14" t="s">
        <v>107</v>
      </c>
      <c r="C2" s="14" t="s">
        <v>156</v>
      </c>
      <c r="D2" s="14" t="s">
        <v>102</v>
      </c>
      <c r="E2" s="21" t="s">
        <v>105</v>
      </c>
      <c r="F2" s="21" t="s">
        <v>113</v>
      </c>
      <c r="H2" s="14" t="s">
        <v>103</v>
      </c>
      <c r="I2" s="14" t="s">
        <v>107</v>
      </c>
      <c r="J2" s="14" t="s">
        <v>108</v>
      </c>
      <c r="K2" s="14" t="s">
        <v>102</v>
      </c>
      <c r="L2" s="21" t="s">
        <v>105</v>
      </c>
      <c r="M2" s="21" t="s">
        <v>113</v>
      </c>
    </row>
    <row r="3" spans="1:13">
      <c r="A3" s="27" t="s">
        <v>101</v>
      </c>
      <c r="B3" s="27">
        <v>4</v>
      </c>
      <c r="C3" s="27">
        <v>100</v>
      </c>
      <c r="D3" s="28">
        <v>0.3</v>
      </c>
      <c r="E3" s="29">
        <f>C3*D3</f>
        <v>30</v>
      </c>
      <c r="F3" s="29">
        <v>160</v>
      </c>
      <c r="H3" s="18" t="s">
        <v>101</v>
      </c>
      <c r="I3" s="18">
        <v>4</v>
      </c>
      <c r="J3" s="18">
        <v>100</v>
      </c>
      <c r="K3" s="6">
        <v>0.3</v>
      </c>
      <c r="L3" s="7">
        <f>J3*K3</f>
        <v>30</v>
      </c>
      <c r="M3" s="7">
        <v>160</v>
      </c>
    </row>
    <row r="4" spans="1:13">
      <c r="A4" s="18" t="s">
        <v>99</v>
      </c>
      <c r="B4" s="18">
        <v>40</v>
      </c>
      <c r="C4" s="18">
        <f>B4</f>
        <v>40</v>
      </c>
      <c r="D4" s="6">
        <v>0.4</v>
      </c>
      <c r="E4" s="7">
        <f>C4*D4</f>
        <v>16</v>
      </c>
      <c r="F4" s="7">
        <v>160</v>
      </c>
      <c r="H4" s="18" t="s">
        <v>99</v>
      </c>
      <c r="I4" s="18">
        <v>25</v>
      </c>
      <c r="J4" s="18">
        <f>I4</f>
        <v>25</v>
      </c>
      <c r="K4" s="6">
        <v>0.4</v>
      </c>
      <c r="L4" s="7">
        <f t="shared" ref="L4:L5" si="0">J4*K4</f>
        <v>10</v>
      </c>
      <c r="M4" s="7">
        <v>160</v>
      </c>
    </row>
    <row r="5" spans="1:13">
      <c r="A5" s="18" t="s">
        <v>100</v>
      </c>
      <c r="B5" s="33">
        <v>3.125</v>
      </c>
      <c r="C5" s="33">
        <f>B5</f>
        <v>3.125</v>
      </c>
      <c r="D5" s="6">
        <v>0.3</v>
      </c>
      <c r="E5" s="32">
        <f>C5*D5</f>
        <v>0.9375</v>
      </c>
      <c r="F5" s="7">
        <v>160</v>
      </c>
      <c r="H5" s="18" t="s">
        <v>100</v>
      </c>
      <c r="I5" s="18">
        <v>31</v>
      </c>
      <c r="J5" s="18">
        <f>I5</f>
        <v>31</v>
      </c>
      <c r="K5" s="6">
        <v>0.3</v>
      </c>
      <c r="L5" s="7">
        <f t="shared" si="0"/>
        <v>9.2999999999999989</v>
      </c>
      <c r="M5" s="7">
        <v>160</v>
      </c>
    </row>
    <row r="6" spans="1:13" ht="24">
      <c r="A6" s="20" t="s">
        <v>106</v>
      </c>
      <c r="B6" s="20"/>
      <c r="C6" s="20"/>
      <c r="D6" s="14"/>
      <c r="E6" s="22">
        <f>SUM(E3:E5)</f>
        <v>46.9375</v>
      </c>
      <c r="F6" s="21"/>
      <c r="H6" s="20" t="s">
        <v>106</v>
      </c>
      <c r="I6" s="20"/>
      <c r="J6" s="20"/>
      <c r="K6" s="14"/>
      <c r="L6" s="22">
        <f>SUM(L3:L5)</f>
        <v>49.3</v>
      </c>
      <c r="M6" s="21"/>
    </row>
    <row r="8" spans="1:13" s="1" customFormat="1" ht="14.25">
      <c r="A8" s="1" t="s">
        <v>110</v>
      </c>
      <c r="H8" s="1" t="s">
        <v>112</v>
      </c>
    </row>
    <row r="9" spans="1:13" ht="24">
      <c r="A9" s="14" t="s">
        <v>103</v>
      </c>
      <c r="B9" s="14" t="s">
        <v>104</v>
      </c>
      <c r="C9" s="14" t="s">
        <v>108</v>
      </c>
      <c r="D9" s="14" t="s">
        <v>102</v>
      </c>
      <c r="E9" s="21" t="s">
        <v>105</v>
      </c>
      <c r="F9" s="21" t="s">
        <v>113</v>
      </c>
      <c r="H9" s="14" t="s">
        <v>103</v>
      </c>
      <c r="I9" s="14" t="s">
        <v>104</v>
      </c>
      <c r="J9" s="14" t="s">
        <v>108</v>
      </c>
      <c r="K9" s="14" t="s">
        <v>102</v>
      </c>
      <c r="L9" s="21" t="s">
        <v>105</v>
      </c>
      <c r="M9" s="21" t="s">
        <v>113</v>
      </c>
    </row>
    <row r="10" spans="1:13">
      <c r="A10" s="27" t="s">
        <v>101</v>
      </c>
      <c r="B10" s="27">
        <v>4</v>
      </c>
      <c r="C10" s="27">
        <f>B10</f>
        <v>4</v>
      </c>
      <c r="D10" s="28">
        <v>0.3</v>
      </c>
      <c r="E10" s="29">
        <f>C10*D10</f>
        <v>1.2</v>
      </c>
      <c r="F10" s="29">
        <v>5</v>
      </c>
      <c r="H10" s="18" t="s">
        <v>101</v>
      </c>
      <c r="I10" s="27">
        <v>4</v>
      </c>
      <c r="J10" s="27">
        <f>I10</f>
        <v>4</v>
      </c>
      <c r="K10" s="28">
        <v>0.3</v>
      </c>
      <c r="L10" s="7">
        <f>J10*K10</f>
        <v>1.2</v>
      </c>
      <c r="M10" s="7">
        <v>5</v>
      </c>
    </row>
    <row r="11" spans="1:13">
      <c r="A11" s="18" t="s">
        <v>99</v>
      </c>
      <c r="B11" s="18">
        <v>63</v>
      </c>
      <c r="C11" s="18">
        <f t="shared" ref="C11:C12" si="1">B11</f>
        <v>63</v>
      </c>
      <c r="D11" s="6">
        <v>0.4</v>
      </c>
      <c r="E11" s="7">
        <f t="shared" ref="E11:E12" si="2">C11*D11</f>
        <v>25.200000000000003</v>
      </c>
      <c r="F11" s="7" t="s">
        <v>157</v>
      </c>
      <c r="H11" s="18" t="s">
        <v>99</v>
      </c>
      <c r="I11" s="18">
        <v>21</v>
      </c>
      <c r="J11" s="18">
        <f t="shared" ref="J11:J12" si="3">I11</f>
        <v>21</v>
      </c>
      <c r="K11" s="6">
        <v>0.4</v>
      </c>
      <c r="L11" s="7">
        <f t="shared" ref="L11:L12" si="4">J11*K11</f>
        <v>8.4</v>
      </c>
      <c r="M11" s="7" t="s">
        <v>157</v>
      </c>
    </row>
    <row r="12" spans="1:13">
      <c r="A12" s="18" t="s">
        <v>100</v>
      </c>
      <c r="B12" s="33">
        <v>2.5</v>
      </c>
      <c r="C12" s="33">
        <f t="shared" si="1"/>
        <v>2.5</v>
      </c>
      <c r="D12" s="6">
        <v>0.3</v>
      </c>
      <c r="E12" s="7">
        <f t="shared" si="2"/>
        <v>0.75</v>
      </c>
      <c r="F12" s="7" t="s">
        <v>157</v>
      </c>
      <c r="H12" s="18" t="s">
        <v>100</v>
      </c>
      <c r="I12" s="18">
        <v>28</v>
      </c>
      <c r="J12" s="18">
        <f t="shared" si="3"/>
        <v>28</v>
      </c>
      <c r="K12" s="6">
        <v>0.3</v>
      </c>
      <c r="L12" s="7">
        <f t="shared" si="4"/>
        <v>8.4</v>
      </c>
      <c r="M12" s="7" t="s">
        <v>157</v>
      </c>
    </row>
    <row r="13" spans="1:13" ht="24">
      <c r="A13" s="20" t="s">
        <v>106</v>
      </c>
      <c r="B13" s="20"/>
      <c r="C13" s="20"/>
      <c r="D13" s="14"/>
      <c r="E13" s="22">
        <f>SUM(E10:E12)</f>
        <v>27.150000000000002</v>
      </c>
      <c r="F13" s="21"/>
      <c r="H13" s="20" t="s">
        <v>106</v>
      </c>
      <c r="I13" s="20"/>
      <c r="J13" s="20"/>
      <c r="K13" s="14"/>
      <c r="L13" s="22">
        <f>SUM(L10:L12)</f>
        <v>18</v>
      </c>
      <c r="M13" s="21"/>
    </row>
    <row r="38" spans="19:20" ht="25.5" customHeight="1"/>
    <row r="40" spans="19:20">
      <c r="S40" s="30"/>
      <c r="T40" s="31"/>
    </row>
  </sheetData>
  <phoneticPr fontId="14"/>
  <pageMargins left="0.7" right="0.7" top="0.75" bottom="0.75" header="0.3" footer="0.3"/>
  <pageSetup paperSize="9" scale="9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2020-02-07T11:51:39Z</dcterms:modified>
</cp:coreProperties>
</file>